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BE42FAB4-C87C-49EB-B389-ADC8895CA235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'SPS1'!$A$1:$K$2227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35" i="1" l="1" a="1"/>
  <c r="K2335" i="1" s="1"/>
  <c r="J2335" i="1" a="1"/>
  <c r="J2335" i="1" s="1"/>
  <c r="I2335" i="1" a="1"/>
  <c r="I2335" i="1" s="1"/>
  <c r="H2335" i="1" a="1"/>
  <c r="H2335" i="1" s="1"/>
  <c r="G2335" i="1" a="1"/>
  <c r="G2335" i="1" s="1"/>
  <c r="F2335" i="1" a="1"/>
  <c r="F2335" i="1" s="1"/>
  <c r="K2334" i="1" a="1"/>
  <c r="K2334" i="1" s="1"/>
  <c r="J2334" i="1" a="1"/>
  <c r="J2334" i="1" s="1"/>
  <c r="I2334" i="1" a="1"/>
  <c r="I2334" i="1" s="1"/>
  <c r="H2334" i="1" a="1"/>
  <c r="H2334" i="1" s="1"/>
  <c r="G2334" i="1" a="1"/>
  <c r="G2334" i="1" s="1"/>
  <c r="F2334" i="1" a="1"/>
  <c r="F2334" i="1" s="1"/>
  <c r="K2333" i="1" a="1"/>
  <c r="K2333" i="1" s="1"/>
  <c r="J2333" i="1" a="1"/>
  <c r="J2333" i="1" s="1"/>
  <c r="I2333" i="1" a="1"/>
  <c r="I2333" i="1" s="1"/>
  <c r="H2333" i="1" a="1"/>
  <c r="H2333" i="1" s="1"/>
  <c r="G2333" i="1" a="1"/>
  <c r="G2333" i="1" s="1"/>
  <c r="F2333" i="1" a="1"/>
  <c r="F2333" i="1" s="1"/>
  <c r="K2332" i="1" a="1"/>
  <c r="K2332" i="1" s="1"/>
  <c r="J2332" i="1" a="1"/>
  <c r="J2332" i="1" s="1"/>
  <c r="I2332" i="1" a="1"/>
  <c r="I2332" i="1" s="1"/>
  <c r="H2332" i="1" a="1"/>
  <c r="H2332" i="1" s="1"/>
  <c r="G2332" i="1" a="1"/>
  <c r="G2332" i="1" s="1"/>
  <c r="F2332" i="1" a="1"/>
  <c r="F2332" i="1" s="1"/>
  <c r="K2331" i="1" a="1"/>
  <c r="K2331" i="1" s="1"/>
  <c r="J2331" i="1" a="1"/>
  <c r="J2331" i="1" s="1"/>
  <c r="I2331" i="1" a="1"/>
  <c r="I2331" i="1" s="1"/>
  <c r="H2331" i="1" a="1"/>
  <c r="H2331" i="1" s="1"/>
  <c r="G2331" i="1" a="1"/>
  <c r="G2331" i="1" s="1"/>
  <c r="F2331" i="1" a="1"/>
  <c r="F2331" i="1" s="1"/>
  <c r="K2330" i="1" a="1"/>
  <c r="K2330" i="1" s="1"/>
  <c r="J2330" i="1" a="1"/>
  <c r="J2330" i="1" s="1"/>
  <c r="I2330" i="1" a="1"/>
  <c r="I2330" i="1" s="1"/>
  <c r="H2330" i="1" a="1"/>
  <c r="H2330" i="1" s="1"/>
  <c r="G2330" i="1" a="1"/>
  <c r="G2330" i="1" s="1"/>
  <c r="F2330" i="1" a="1"/>
  <c r="F2330" i="1" s="1"/>
  <c r="K2329" i="1" a="1"/>
  <c r="K2329" i="1" s="1"/>
  <c r="J2329" i="1" a="1"/>
  <c r="J2329" i="1" s="1"/>
  <c r="I2329" i="1" a="1"/>
  <c r="I2329" i="1" s="1"/>
  <c r="H2329" i="1" a="1"/>
  <c r="H2329" i="1" s="1"/>
  <c r="G2329" i="1" a="1"/>
  <c r="G2329" i="1" s="1"/>
  <c r="F2329" i="1" a="1"/>
  <c r="F2329" i="1" s="1"/>
  <c r="K2328" i="1" a="1"/>
  <c r="K2328" i="1" s="1"/>
  <c r="J2328" i="1" a="1"/>
  <c r="J2328" i="1" s="1"/>
  <c r="I2328" i="1" a="1"/>
  <c r="I2328" i="1" s="1"/>
  <c r="H2328" i="1" a="1"/>
  <c r="H2328" i="1" s="1"/>
  <c r="G2328" i="1" a="1"/>
  <c r="G2328" i="1" s="1"/>
  <c r="F2328" i="1" a="1"/>
  <c r="F2328" i="1" s="1"/>
  <c r="K2327" i="1" a="1"/>
  <c r="K2327" i="1" s="1"/>
  <c r="J2327" i="1" a="1"/>
  <c r="J2327" i="1" s="1"/>
  <c r="I2327" i="1" a="1"/>
  <c r="I2327" i="1" s="1"/>
  <c r="H2327" i="1" a="1"/>
  <c r="H2327" i="1" s="1"/>
  <c r="G2327" i="1" a="1"/>
  <c r="G2327" i="1" s="1"/>
  <c r="F2327" i="1" a="1"/>
  <c r="F2327" i="1" s="1"/>
  <c r="K2326" i="1" a="1"/>
  <c r="K2326" i="1" s="1"/>
  <c r="J2326" i="1" a="1"/>
  <c r="J2326" i="1" s="1"/>
  <c r="I2326" i="1" a="1"/>
  <c r="I2326" i="1" s="1"/>
  <c r="H2326" i="1" a="1"/>
  <c r="H2326" i="1" s="1"/>
  <c r="G2326" i="1" a="1"/>
  <c r="G2326" i="1" s="1"/>
  <c r="F2326" i="1" a="1"/>
  <c r="F2326" i="1" s="1"/>
  <c r="K2325" i="1" a="1"/>
  <c r="K2325" i="1" s="1"/>
  <c r="J2325" i="1" a="1"/>
  <c r="J2325" i="1" s="1"/>
  <c r="I2325" i="1" a="1"/>
  <c r="I2325" i="1" s="1"/>
  <c r="H2325" i="1" a="1"/>
  <c r="H2325" i="1" s="1"/>
  <c r="G2325" i="1" a="1"/>
  <c r="G2325" i="1" s="1"/>
  <c r="F2325" i="1" a="1"/>
  <c r="F2325" i="1" s="1"/>
  <c r="K2324" i="1" a="1"/>
  <c r="K2324" i="1" s="1"/>
  <c r="J2324" i="1" a="1"/>
  <c r="J2324" i="1" s="1"/>
  <c r="I2324" i="1" a="1"/>
  <c r="I2324" i="1" s="1"/>
  <c r="H2324" i="1" a="1"/>
  <c r="H2324" i="1" s="1"/>
  <c r="G2324" i="1" a="1"/>
  <c r="G2324" i="1" s="1"/>
  <c r="F2324" i="1" a="1"/>
  <c r="F2324" i="1" s="1"/>
  <c r="K2323" i="1" a="1"/>
  <c r="K2323" i="1" s="1"/>
  <c r="J2323" i="1" a="1"/>
  <c r="J2323" i="1" s="1"/>
  <c r="I2323" i="1" a="1"/>
  <c r="I2323" i="1" s="1"/>
  <c r="H2323" i="1" a="1"/>
  <c r="H2323" i="1" s="1"/>
  <c r="G2323" i="1" a="1"/>
  <c r="G2323" i="1" s="1"/>
  <c r="F2323" i="1" a="1"/>
  <c r="F2323" i="1" s="1"/>
  <c r="K2322" i="1" a="1"/>
  <c r="K2322" i="1" s="1"/>
  <c r="J2322" i="1" a="1"/>
  <c r="J2322" i="1" s="1"/>
  <c r="I2322" i="1" a="1"/>
  <c r="I2322" i="1" s="1"/>
  <c r="H2322" i="1" a="1"/>
  <c r="H2322" i="1" s="1"/>
  <c r="G2322" i="1" a="1"/>
  <c r="G2322" i="1" s="1"/>
  <c r="F2322" i="1" a="1"/>
  <c r="F2322" i="1" s="1"/>
  <c r="K2321" i="1" a="1"/>
  <c r="K2321" i="1" s="1"/>
  <c r="J2321" i="1" a="1"/>
  <c r="J2321" i="1" s="1"/>
  <c r="I2321" i="1" a="1"/>
  <c r="I2321" i="1" s="1"/>
  <c r="H2321" i="1" a="1"/>
  <c r="H2321" i="1" s="1"/>
  <c r="G2321" i="1" a="1"/>
  <c r="G2321" i="1" s="1"/>
  <c r="F2321" i="1" a="1"/>
  <c r="F2321" i="1" s="1"/>
  <c r="K2320" i="1" a="1"/>
  <c r="K2320" i="1" s="1"/>
  <c r="J2320" i="1" a="1"/>
  <c r="J2320" i="1" s="1"/>
  <c r="I2320" i="1" a="1"/>
  <c r="I2320" i="1" s="1"/>
  <c r="H2320" i="1" a="1"/>
  <c r="H2320" i="1" s="1"/>
  <c r="G2320" i="1" a="1"/>
  <c r="G2320" i="1" s="1"/>
  <c r="F2320" i="1" a="1"/>
  <c r="F2320" i="1" s="1"/>
  <c r="K2318" i="1" a="1"/>
  <c r="K2318" i="1" s="1"/>
  <c r="K2317" i="1" s="1" a="1"/>
  <c r="K2317" i="1" s="1"/>
  <c r="K2316" i="1" s="1"/>
  <c r="J2318" i="1" a="1"/>
  <c r="J2318" i="1" s="1"/>
  <c r="J2317" i="1" s="1" a="1"/>
  <c r="J2317" i="1" s="1"/>
  <c r="J2316" i="1" s="1"/>
  <c r="I2318" i="1" a="1"/>
  <c r="I2318" i="1" s="1"/>
  <c r="I2317" i="1" s="1" a="1"/>
  <c r="I2317" i="1" s="1"/>
  <c r="I2316" i="1" s="1"/>
  <c r="H2318" i="1" a="1"/>
  <c r="H2318" i="1" s="1"/>
  <c r="H2317" i="1" s="1" a="1"/>
  <c r="H2317" i="1" s="1"/>
  <c r="H2316" i="1" s="1"/>
  <c r="G2318" i="1" a="1"/>
  <c r="G2318" i="1" s="1"/>
  <c r="G2317" i="1" s="1" a="1"/>
  <c r="G2317" i="1" s="1"/>
  <c r="G2316" i="1" s="1"/>
  <c r="F2318" i="1" a="1"/>
  <c r="F2318" i="1" s="1"/>
  <c r="F2317" i="1" s="1" a="1"/>
  <c r="F2317" i="1" s="1"/>
  <c r="F2316" i="1" s="1"/>
  <c r="K2315" i="1" a="1"/>
  <c r="K2315" i="1" s="1"/>
  <c r="K2314" i="1" s="1" a="1"/>
  <c r="K2314" i="1" s="1"/>
  <c r="K2313" i="1" s="1"/>
  <c r="J2315" i="1" a="1"/>
  <c r="J2315" i="1" s="1"/>
  <c r="J2314" i="1" s="1" a="1"/>
  <c r="J2314" i="1" s="1"/>
  <c r="J2313" i="1" s="1"/>
  <c r="I2315" i="1" a="1"/>
  <c r="I2315" i="1" s="1"/>
  <c r="I2314" i="1" s="1" a="1"/>
  <c r="I2314" i="1" s="1"/>
  <c r="I2313" i="1" s="1"/>
  <c r="H2315" i="1" a="1"/>
  <c r="H2315" i="1" s="1"/>
  <c r="H2314" i="1" s="1" a="1"/>
  <c r="H2314" i="1" s="1"/>
  <c r="H2313" i="1" s="1"/>
  <c r="G2315" i="1" a="1"/>
  <c r="G2315" i="1" s="1"/>
  <c r="G2314" i="1" s="1" a="1"/>
  <c r="G2314" i="1" s="1"/>
  <c r="G2313" i="1" s="1"/>
  <c r="F2315" i="1" a="1"/>
  <c r="F2315" i="1" s="1"/>
  <c r="F2314" i="1" s="1" a="1"/>
  <c r="F2314" i="1" s="1"/>
  <c r="F2313" i="1" s="1"/>
  <c r="K2312" i="1" a="1"/>
  <c r="K2312" i="1" s="1"/>
  <c r="J2312" i="1" a="1"/>
  <c r="J2312" i="1" s="1"/>
  <c r="I2312" i="1" a="1"/>
  <c r="I2312" i="1" s="1"/>
  <c r="H2312" i="1" a="1"/>
  <c r="H2312" i="1" s="1"/>
  <c r="G2312" i="1" a="1"/>
  <c r="G2312" i="1" s="1"/>
  <c r="F2312" i="1" a="1"/>
  <c r="F2312" i="1" s="1"/>
  <c r="K2311" i="1" a="1"/>
  <c r="K2311" i="1" s="1"/>
  <c r="J2311" i="1" a="1"/>
  <c r="J2311" i="1" s="1"/>
  <c r="I2311" i="1" a="1"/>
  <c r="I2311" i="1" s="1"/>
  <c r="H2311" i="1" a="1"/>
  <c r="H2311" i="1" s="1"/>
  <c r="G2311" i="1" a="1"/>
  <c r="G2311" i="1" s="1"/>
  <c r="F2311" i="1" a="1"/>
  <c r="F2311" i="1" s="1"/>
  <c r="K2309" i="1" a="1"/>
  <c r="K2309" i="1" s="1"/>
  <c r="K2310" i="1" s="1"/>
  <c r="J2309" i="1" a="1"/>
  <c r="J2309" i="1" s="1"/>
  <c r="J2310" i="1" s="1"/>
  <c r="I2309" i="1" a="1"/>
  <c r="I2309" i="1" s="1"/>
  <c r="I2310" i="1" s="1"/>
  <c r="H2309" i="1" a="1"/>
  <c r="H2309" i="1" s="1"/>
  <c r="H2310" i="1" s="1"/>
  <c r="G2309" i="1" a="1"/>
  <c r="G2309" i="1" s="1"/>
  <c r="G2310" i="1" s="1"/>
  <c r="F2309" i="1" a="1"/>
  <c r="F2309" i="1" s="1"/>
  <c r="F2310" i="1" s="1"/>
  <c r="K2307" i="1" a="1"/>
  <c r="K2307" i="1" s="1"/>
  <c r="K2306" i="1" s="1"/>
  <c r="J2307" i="1" a="1"/>
  <c r="J2307" i="1" s="1"/>
  <c r="J2306" i="1" s="1"/>
  <c r="I2307" i="1" a="1"/>
  <c r="I2307" i="1" s="1"/>
  <c r="I2306" i="1" s="1"/>
  <c r="H2307" i="1" a="1"/>
  <c r="H2307" i="1" s="1"/>
  <c r="H2306" i="1" s="1"/>
  <c r="G2307" i="1" a="1"/>
  <c r="G2307" i="1" s="1"/>
  <c r="G2306" i="1" s="1"/>
  <c r="F2307" i="1" a="1"/>
  <c r="F2307" i="1" s="1"/>
  <c r="F2306" i="1" s="1"/>
  <c r="K2305" i="1" a="1"/>
  <c r="K2305" i="1" s="1"/>
  <c r="K2304" i="1" s="1"/>
  <c r="J2305" i="1" a="1"/>
  <c r="J2305" i="1" s="1"/>
  <c r="J2304" i="1" s="1"/>
  <c r="I2305" i="1" a="1"/>
  <c r="I2305" i="1" s="1"/>
  <c r="I2304" i="1" s="1"/>
  <c r="H2305" i="1" a="1"/>
  <c r="H2305" i="1" s="1"/>
  <c r="H2304" i="1" s="1"/>
  <c r="G2305" i="1" a="1"/>
  <c r="G2305" i="1" s="1"/>
  <c r="G2304" i="1" s="1"/>
  <c r="F2305" i="1" a="1"/>
  <c r="F2305" i="1" s="1"/>
  <c r="F2304" i="1" s="1"/>
  <c r="K2303" i="1" a="1"/>
  <c r="K2303" i="1" s="1"/>
  <c r="K2302" i="1" s="1"/>
  <c r="J2303" i="1" a="1"/>
  <c r="J2303" i="1" s="1"/>
  <c r="J2302" i="1" s="1"/>
  <c r="I2303" i="1" a="1"/>
  <c r="I2303" i="1" s="1"/>
  <c r="I2302" i="1" s="1"/>
  <c r="H2303" i="1" a="1"/>
  <c r="H2303" i="1" s="1"/>
  <c r="H2302" i="1" s="1"/>
  <c r="G2303" i="1" a="1"/>
  <c r="G2303" i="1" s="1"/>
  <c r="G2302" i="1" s="1"/>
  <c r="F2303" i="1" a="1"/>
  <c r="F2303" i="1" s="1"/>
  <c r="F2302" i="1" s="1"/>
  <c r="K2301" i="1" a="1"/>
  <c r="K2301" i="1" s="1"/>
  <c r="K2300" i="1" s="1"/>
  <c r="J2301" i="1" a="1"/>
  <c r="J2301" i="1" s="1"/>
  <c r="J2300" i="1" s="1"/>
  <c r="I2301" i="1" a="1"/>
  <c r="I2301" i="1" s="1"/>
  <c r="I2300" i="1" s="1"/>
  <c r="H2301" i="1" a="1"/>
  <c r="H2301" i="1" s="1"/>
  <c r="H2300" i="1" s="1"/>
  <c r="G2301" i="1" a="1"/>
  <c r="G2301" i="1" s="1"/>
  <c r="G2300" i="1" s="1"/>
  <c r="F2301" i="1" a="1"/>
  <c r="F2301" i="1" s="1"/>
  <c r="F2300" i="1" s="1"/>
  <c r="K2299" i="1" a="1"/>
  <c r="K2299" i="1" s="1"/>
  <c r="J2299" i="1" a="1"/>
  <c r="J2299" i="1" s="1"/>
  <c r="I2299" i="1" a="1"/>
  <c r="I2299" i="1" s="1"/>
  <c r="H2299" i="1" a="1"/>
  <c r="H2299" i="1" s="1"/>
  <c r="G2299" i="1" a="1"/>
  <c r="G2299" i="1" s="1"/>
  <c r="F2299" i="1" a="1"/>
  <c r="F2299" i="1" s="1"/>
  <c r="K2298" i="1" a="1"/>
  <c r="K2298" i="1" s="1"/>
  <c r="J2298" i="1" a="1"/>
  <c r="J2298" i="1" s="1"/>
  <c r="I2298" i="1" a="1"/>
  <c r="I2298" i="1" s="1"/>
  <c r="H2298" i="1" a="1"/>
  <c r="H2298" i="1" s="1"/>
  <c r="G2298" i="1" a="1"/>
  <c r="G2298" i="1" s="1"/>
  <c r="F2298" i="1" a="1"/>
  <c r="F2298" i="1" s="1"/>
  <c r="K2297" i="1" a="1"/>
  <c r="K2297" i="1" s="1"/>
  <c r="J2297" i="1" a="1"/>
  <c r="J2297" i="1" s="1"/>
  <c r="I2297" i="1" a="1"/>
  <c r="I2297" i="1" s="1"/>
  <c r="I2296" i="1" s="1"/>
  <c r="H2297" i="1" a="1"/>
  <c r="H2297" i="1" s="1"/>
  <c r="H2296" i="1" s="1"/>
  <c r="G2297" i="1" a="1"/>
  <c r="G2297" i="1" s="1"/>
  <c r="G2296" i="1" s="1"/>
  <c r="F2297" i="1" a="1"/>
  <c r="F2297" i="1" s="1"/>
  <c r="F2296" i="1" s="1"/>
  <c r="K2295" i="1" a="1"/>
  <c r="K2295" i="1" s="1"/>
  <c r="K2294" i="1" s="1"/>
  <c r="J2295" i="1" a="1"/>
  <c r="J2295" i="1" s="1"/>
  <c r="J2294" i="1" s="1"/>
  <c r="I2295" i="1" a="1"/>
  <c r="I2295" i="1" s="1"/>
  <c r="I2294" i="1" s="1"/>
  <c r="H2295" i="1" a="1"/>
  <c r="H2295" i="1" s="1"/>
  <c r="H2294" i="1" s="1"/>
  <c r="G2295" i="1" a="1"/>
  <c r="G2295" i="1" s="1"/>
  <c r="G2294" i="1" s="1"/>
  <c r="F2295" i="1" a="1"/>
  <c r="F2295" i="1" s="1"/>
  <c r="F2294" i="1" s="1"/>
  <c r="K2293" i="1" a="1"/>
  <c r="K2293" i="1" s="1"/>
  <c r="J2293" i="1" a="1"/>
  <c r="J2293" i="1" s="1"/>
  <c r="I2293" i="1" a="1"/>
  <c r="I2293" i="1" s="1"/>
  <c r="H2293" i="1" a="1"/>
  <c r="H2293" i="1" s="1"/>
  <c r="G2293" i="1" a="1"/>
  <c r="G2293" i="1" s="1"/>
  <c r="F2293" i="1" a="1"/>
  <c r="F2293" i="1" s="1"/>
  <c r="K2292" i="1" a="1"/>
  <c r="K2292" i="1" s="1"/>
  <c r="K2291" i="1" s="1"/>
  <c r="J2292" i="1" a="1"/>
  <c r="J2292" i="1" s="1"/>
  <c r="J2291" i="1" s="1"/>
  <c r="I2292" i="1" a="1"/>
  <c r="I2292" i="1" s="1"/>
  <c r="I2291" i="1" s="1"/>
  <c r="H2292" i="1" a="1"/>
  <c r="H2292" i="1" s="1"/>
  <c r="H2291" i="1" s="1"/>
  <c r="G2292" i="1" a="1"/>
  <c r="G2292" i="1" s="1"/>
  <c r="G2291" i="1" s="1"/>
  <c r="F2292" i="1" a="1"/>
  <c r="F2292" i="1" s="1"/>
  <c r="F2291" i="1" s="1"/>
  <c r="K2289" i="1" a="1"/>
  <c r="K2289" i="1" s="1"/>
  <c r="K2288" i="1" s="1"/>
  <c r="J2289" i="1" a="1"/>
  <c r="J2289" i="1" s="1"/>
  <c r="J2288" i="1" s="1"/>
  <c r="I2289" i="1" a="1"/>
  <c r="I2289" i="1" s="1"/>
  <c r="I2288" i="1" s="1"/>
  <c r="H2289" i="1" a="1"/>
  <c r="H2289" i="1" s="1"/>
  <c r="H2288" i="1" s="1"/>
  <c r="G2289" i="1" a="1"/>
  <c r="G2289" i="1" s="1"/>
  <c r="G2288" i="1" s="1"/>
  <c r="F2289" i="1" a="1"/>
  <c r="F2289" i="1" s="1"/>
  <c r="F2288" i="1" s="1"/>
  <c r="K2287" i="1" a="1"/>
  <c r="K2287" i="1" s="1"/>
  <c r="K2286" i="1" s="1"/>
  <c r="J2287" i="1" a="1"/>
  <c r="J2287" i="1" s="1"/>
  <c r="J2286" i="1" s="1"/>
  <c r="I2287" i="1" a="1"/>
  <c r="I2287" i="1" s="1"/>
  <c r="I2286" i="1" s="1"/>
  <c r="H2287" i="1" a="1"/>
  <c r="H2287" i="1" s="1"/>
  <c r="H2286" i="1" s="1"/>
  <c r="G2287" i="1" a="1"/>
  <c r="G2287" i="1" s="1"/>
  <c r="G2286" i="1" s="1"/>
  <c r="F2287" i="1" a="1"/>
  <c r="F2287" i="1" s="1"/>
  <c r="F2286" i="1" s="1"/>
  <c r="K2285" i="1" a="1"/>
  <c r="K2285" i="1" s="1"/>
  <c r="K2284" i="1" s="1"/>
  <c r="J2285" i="1" a="1"/>
  <c r="J2285" i="1" s="1"/>
  <c r="J2284" i="1" s="1"/>
  <c r="I2285" i="1" a="1"/>
  <c r="I2285" i="1" s="1"/>
  <c r="I2284" i="1" s="1"/>
  <c r="H2285" i="1" a="1"/>
  <c r="H2285" i="1" s="1"/>
  <c r="H2284" i="1" s="1"/>
  <c r="G2285" i="1" a="1"/>
  <c r="G2285" i="1" s="1"/>
  <c r="G2284" i="1" s="1"/>
  <c r="F2285" i="1" a="1"/>
  <c r="F2285" i="1" s="1"/>
  <c r="F2284" i="1" s="1"/>
  <c r="K2283" i="1" a="1"/>
  <c r="K2283" i="1" s="1"/>
  <c r="K2282" i="1" s="1"/>
  <c r="J2283" i="1" a="1"/>
  <c r="J2283" i="1" s="1"/>
  <c r="J2282" i="1" s="1"/>
  <c r="I2283" i="1" a="1"/>
  <c r="I2283" i="1" s="1"/>
  <c r="I2282" i="1" s="1"/>
  <c r="H2283" i="1" a="1"/>
  <c r="H2283" i="1" s="1"/>
  <c r="H2282" i="1" s="1"/>
  <c r="G2283" i="1" a="1"/>
  <c r="G2283" i="1" s="1"/>
  <c r="G2282" i="1" s="1"/>
  <c r="F2283" i="1" a="1"/>
  <c r="F2283" i="1" s="1"/>
  <c r="F2282" i="1" s="1"/>
  <c r="K2281" i="1" a="1"/>
  <c r="K2281" i="1" s="1"/>
  <c r="K2280" i="1" s="1"/>
  <c r="J2281" i="1" a="1"/>
  <c r="J2281" i="1" s="1"/>
  <c r="J2280" i="1" s="1"/>
  <c r="I2281" i="1" a="1"/>
  <c r="I2281" i="1" s="1"/>
  <c r="I2280" i="1" s="1"/>
  <c r="H2281" i="1" a="1"/>
  <c r="H2281" i="1" s="1"/>
  <c r="H2280" i="1" s="1"/>
  <c r="G2281" i="1" a="1"/>
  <c r="G2281" i="1" s="1"/>
  <c r="G2280" i="1" s="1"/>
  <c r="F2281" i="1" a="1"/>
  <c r="F2281" i="1" s="1"/>
  <c r="F2280" i="1" s="1"/>
  <c r="K2279" i="1" a="1"/>
  <c r="K2279" i="1" s="1"/>
  <c r="K2278" i="1" s="1"/>
  <c r="J2279" i="1" a="1"/>
  <c r="J2279" i="1" s="1"/>
  <c r="J2278" i="1" s="1"/>
  <c r="I2279" i="1" a="1"/>
  <c r="I2279" i="1" s="1"/>
  <c r="I2278" i="1" s="1"/>
  <c r="H2279" i="1" a="1"/>
  <c r="H2279" i="1" s="1"/>
  <c r="H2278" i="1" s="1"/>
  <c r="G2279" i="1" a="1"/>
  <c r="G2279" i="1" s="1"/>
  <c r="G2278" i="1" s="1"/>
  <c r="F2279" i="1" a="1"/>
  <c r="F2279" i="1" s="1"/>
  <c r="F2278" i="1" s="1"/>
  <c r="K2277" i="1" a="1"/>
  <c r="K2277" i="1" s="1"/>
  <c r="J2277" i="1" a="1"/>
  <c r="J2277" i="1" s="1"/>
  <c r="I2277" i="1" a="1"/>
  <c r="I2277" i="1" s="1"/>
  <c r="H2277" i="1" a="1"/>
  <c r="H2277" i="1" s="1"/>
  <c r="G2277" i="1" a="1"/>
  <c r="G2277" i="1" s="1"/>
  <c r="F2277" i="1" a="1"/>
  <c r="F2277" i="1" s="1"/>
  <c r="K2276" i="1" a="1"/>
  <c r="K2276" i="1" s="1"/>
  <c r="J2276" i="1" a="1"/>
  <c r="J2276" i="1" s="1"/>
  <c r="I2276" i="1" a="1"/>
  <c r="I2276" i="1" s="1"/>
  <c r="H2276" i="1" a="1"/>
  <c r="H2276" i="1" s="1"/>
  <c r="G2276" i="1" a="1"/>
  <c r="G2276" i="1" s="1"/>
  <c r="F2276" i="1" a="1"/>
  <c r="F2276" i="1" s="1"/>
  <c r="K2275" i="1" a="1"/>
  <c r="K2275" i="1" s="1"/>
  <c r="J2275" i="1" a="1"/>
  <c r="J2275" i="1" s="1"/>
  <c r="I2275" i="1" a="1"/>
  <c r="I2275" i="1" s="1"/>
  <c r="H2275" i="1" a="1"/>
  <c r="H2275" i="1" s="1"/>
  <c r="H2274" i="1" s="1"/>
  <c r="G2275" i="1" a="1"/>
  <c r="G2275" i="1" s="1"/>
  <c r="F2275" i="1" a="1"/>
  <c r="F2275" i="1" s="1"/>
  <c r="K2273" i="1" a="1"/>
  <c r="K2273" i="1" s="1"/>
  <c r="J2273" i="1" a="1"/>
  <c r="J2273" i="1" s="1"/>
  <c r="I2273" i="1" a="1"/>
  <c r="I2273" i="1" s="1"/>
  <c r="H2273" i="1" a="1"/>
  <c r="H2273" i="1" s="1"/>
  <c r="G2273" i="1" a="1"/>
  <c r="G2273" i="1" s="1"/>
  <c r="F2273" i="1" a="1"/>
  <c r="F2273" i="1" s="1"/>
  <c r="K2272" i="1" a="1"/>
  <c r="K2272" i="1" s="1"/>
  <c r="J2272" i="1" a="1"/>
  <c r="J2272" i="1" s="1"/>
  <c r="I2272" i="1" a="1"/>
  <c r="I2272" i="1" s="1"/>
  <c r="I2271" i="1" s="1"/>
  <c r="H2272" i="1" a="1"/>
  <c r="H2272" i="1" s="1"/>
  <c r="G2272" i="1" a="1"/>
  <c r="G2272" i="1" s="1"/>
  <c r="F2272" i="1" a="1"/>
  <c r="F2272" i="1" s="1"/>
  <c r="K2270" i="1" a="1"/>
  <c r="K2270" i="1" s="1"/>
  <c r="J2270" i="1" a="1"/>
  <c r="J2270" i="1" s="1"/>
  <c r="I2270" i="1" a="1"/>
  <c r="I2270" i="1" s="1"/>
  <c r="H2270" i="1" a="1"/>
  <c r="H2270" i="1" s="1"/>
  <c r="G2270" i="1" a="1"/>
  <c r="G2270" i="1" s="1"/>
  <c r="F2270" i="1" a="1"/>
  <c r="F2270" i="1" s="1"/>
  <c r="K2269" i="1" a="1"/>
  <c r="K2269" i="1" s="1"/>
  <c r="J2269" i="1" a="1"/>
  <c r="J2269" i="1" s="1"/>
  <c r="I2269" i="1" a="1"/>
  <c r="I2269" i="1" s="1"/>
  <c r="H2269" i="1" a="1"/>
  <c r="H2269" i="1" s="1"/>
  <c r="G2269" i="1" a="1"/>
  <c r="G2269" i="1" s="1"/>
  <c r="F2269" i="1" a="1"/>
  <c r="F2269" i="1" s="1"/>
  <c r="K2266" i="1" a="1"/>
  <c r="K2266" i="1" s="1"/>
  <c r="K2265" i="1" s="1"/>
  <c r="J2266" i="1" a="1"/>
  <c r="J2266" i="1" s="1"/>
  <c r="J2265" i="1" s="1"/>
  <c r="I2266" i="1" a="1"/>
  <c r="I2266" i="1" s="1"/>
  <c r="I2265" i="1" s="1"/>
  <c r="H2266" i="1" a="1"/>
  <c r="H2266" i="1" s="1"/>
  <c r="H2265" i="1" s="1"/>
  <c r="G2266" i="1" a="1"/>
  <c r="G2266" i="1" s="1"/>
  <c r="G2265" i="1" s="1"/>
  <c r="F2266" i="1" a="1"/>
  <c r="F2266" i="1" s="1"/>
  <c r="F2265" i="1" s="1"/>
  <c r="K2264" i="1" a="1"/>
  <c r="K2264" i="1" s="1"/>
  <c r="K2263" i="1" s="1"/>
  <c r="J2264" i="1" a="1"/>
  <c r="J2264" i="1" s="1"/>
  <c r="J2263" i="1" s="1"/>
  <c r="I2264" i="1" a="1"/>
  <c r="I2264" i="1" s="1"/>
  <c r="I2263" i="1" s="1"/>
  <c r="H2264" i="1" a="1"/>
  <c r="H2264" i="1" s="1"/>
  <c r="H2263" i="1" s="1"/>
  <c r="G2264" i="1" a="1"/>
  <c r="G2264" i="1" s="1"/>
  <c r="G2263" i="1" s="1"/>
  <c r="F2264" i="1" a="1"/>
  <c r="F2264" i="1" s="1"/>
  <c r="F2263" i="1" s="1"/>
  <c r="K2262" i="1" a="1"/>
  <c r="K2262" i="1" s="1"/>
  <c r="K2261" i="1" s="1"/>
  <c r="J2262" i="1" a="1"/>
  <c r="J2262" i="1" s="1"/>
  <c r="J2261" i="1" s="1"/>
  <c r="I2262" i="1" a="1"/>
  <c r="I2262" i="1" s="1"/>
  <c r="I2261" i="1" s="1"/>
  <c r="H2262" i="1" a="1"/>
  <c r="H2262" i="1" s="1"/>
  <c r="H2261" i="1" s="1"/>
  <c r="G2262" i="1" a="1"/>
  <c r="G2262" i="1" s="1"/>
  <c r="G2261" i="1" s="1"/>
  <c r="F2262" i="1" a="1"/>
  <c r="F2262" i="1" s="1"/>
  <c r="F2261" i="1" s="1"/>
  <c r="K2260" i="1" a="1"/>
  <c r="K2260" i="1" s="1"/>
  <c r="K2259" i="1" s="1"/>
  <c r="J2260" i="1" a="1"/>
  <c r="J2260" i="1" s="1"/>
  <c r="J2259" i="1" s="1"/>
  <c r="I2260" i="1" a="1"/>
  <c r="I2260" i="1" s="1"/>
  <c r="I2259" i="1" s="1"/>
  <c r="H2260" i="1" a="1"/>
  <c r="H2260" i="1" s="1"/>
  <c r="H2259" i="1" s="1"/>
  <c r="G2260" i="1" a="1"/>
  <c r="G2260" i="1" s="1"/>
  <c r="G2259" i="1" s="1"/>
  <c r="F2260" i="1" a="1"/>
  <c r="F2260" i="1" s="1"/>
  <c r="F2259" i="1" s="1"/>
  <c r="K2258" i="1" a="1"/>
  <c r="K2258" i="1" s="1"/>
  <c r="K2257" i="1" s="1"/>
  <c r="J2258" i="1" a="1"/>
  <c r="J2258" i="1" s="1"/>
  <c r="J2257" i="1" s="1"/>
  <c r="I2258" i="1" a="1"/>
  <c r="I2258" i="1" s="1"/>
  <c r="I2257" i="1" s="1"/>
  <c r="H2258" i="1" a="1"/>
  <c r="H2258" i="1" s="1"/>
  <c r="H2257" i="1" s="1"/>
  <c r="G2258" i="1" a="1"/>
  <c r="G2258" i="1" s="1"/>
  <c r="G2257" i="1" s="1"/>
  <c r="F2258" i="1" a="1"/>
  <c r="F2258" i="1" s="1"/>
  <c r="F2257" i="1" s="1"/>
  <c r="K2256" i="1" a="1"/>
  <c r="K2256" i="1" s="1"/>
  <c r="J2256" i="1" a="1"/>
  <c r="J2256" i="1" s="1"/>
  <c r="I2256" i="1" a="1"/>
  <c r="I2256" i="1" s="1"/>
  <c r="H2256" i="1" a="1"/>
  <c r="H2256" i="1" s="1"/>
  <c r="G2256" i="1" a="1"/>
  <c r="G2256" i="1" s="1"/>
  <c r="F2256" i="1" a="1"/>
  <c r="F2256" i="1" s="1"/>
  <c r="K2255" i="1" a="1"/>
  <c r="K2255" i="1" s="1"/>
  <c r="J2255" i="1" a="1"/>
  <c r="J2255" i="1" s="1"/>
  <c r="I2255" i="1" a="1"/>
  <c r="I2255" i="1" s="1"/>
  <c r="I2254" i="1" s="1"/>
  <c r="H2255" i="1" a="1"/>
  <c r="H2255" i="1" s="1"/>
  <c r="G2255" i="1" a="1"/>
  <c r="G2255" i="1" s="1"/>
  <c r="G2254" i="1" s="1"/>
  <c r="F2255" i="1" a="1"/>
  <c r="F2255" i="1" s="1"/>
  <c r="K2253" i="1" a="1"/>
  <c r="K2253" i="1" s="1"/>
  <c r="K2252" i="1" s="1"/>
  <c r="J2253" i="1" a="1"/>
  <c r="J2253" i="1" s="1"/>
  <c r="J2252" i="1" s="1"/>
  <c r="I2253" i="1" a="1"/>
  <c r="I2253" i="1" s="1"/>
  <c r="I2252" i="1" s="1"/>
  <c r="H2253" i="1" a="1"/>
  <c r="H2253" i="1" s="1"/>
  <c r="H2252" i="1" s="1"/>
  <c r="G2253" i="1" a="1"/>
  <c r="G2253" i="1" s="1"/>
  <c r="G2252" i="1" s="1"/>
  <c r="F2253" i="1" a="1"/>
  <c r="F2253" i="1" s="1"/>
  <c r="F2252" i="1" s="1"/>
  <c r="K2251" i="1" a="1"/>
  <c r="K2251" i="1" s="1"/>
  <c r="J2251" i="1" a="1"/>
  <c r="J2251" i="1" s="1"/>
  <c r="I2251" i="1" a="1"/>
  <c r="I2251" i="1" s="1"/>
  <c r="H2251" i="1" a="1"/>
  <c r="H2251" i="1" s="1"/>
  <c r="G2251" i="1" a="1"/>
  <c r="G2251" i="1" s="1"/>
  <c r="F2251" i="1" a="1"/>
  <c r="F2251" i="1" s="1"/>
  <c r="K2250" i="1" a="1"/>
  <c r="K2250" i="1" s="1"/>
  <c r="K2249" i="1" s="1"/>
  <c r="J2250" i="1" a="1"/>
  <c r="J2250" i="1" s="1"/>
  <c r="I2250" i="1" a="1"/>
  <c r="I2250" i="1" s="1"/>
  <c r="H2250" i="1" a="1"/>
  <c r="H2250" i="1" s="1"/>
  <c r="H2249" i="1" s="1"/>
  <c r="G2250" i="1" a="1"/>
  <c r="G2250" i="1" s="1"/>
  <c r="F2250" i="1" a="1"/>
  <c r="F2250" i="1" s="1"/>
  <c r="K2247" i="1" a="1"/>
  <c r="K2247" i="1" s="1"/>
  <c r="K2246" i="1" s="1"/>
  <c r="J2247" i="1" a="1"/>
  <c r="J2247" i="1" s="1"/>
  <c r="J2246" i="1" s="1"/>
  <c r="I2247" i="1" a="1"/>
  <c r="I2247" i="1" s="1"/>
  <c r="I2246" i="1" s="1"/>
  <c r="H2247" i="1" a="1"/>
  <c r="H2247" i="1" s="1"/>
  <c r="H2246" i="1" s="1"/>
  <c r="G2247" i="1" a="1"/>
  <c r="G2247" i="1" s="1"/>
  <c r="G2246" i="1" s="1"/>
  <c r="F2247" i="1" a="1"/>
  <c r="F2247" i="1" s="1"/>
  <c r="F2246" i="1" s="1"/>
  <c r="K2245" i="1" a="1"/>
  <c r="K2245" i="1" s="1"/>
  <c r="K2244" i="1" s="1"/>
  <c r="J2245" i="1" a="1"/>
  <c r="J2245" i="1" s="1"/>
  <c r="J2244" i="1" s="1"/>
  <c r="I2245" i="1" a="1"/>
  <c r="I2245" i="1" s="1"/>
  <c r="I2244" i="1" s="1"/>
  <c r="H2245" i="1" a="1"/>
  <c r="H2245" i="1" s="1"/>
  <c r="H2244" i="1" s="1"/>
  <c r="G2245" i="1" a="1"/>
  <c r="G2245" i="1" s="1"/>
  <c r="G2244" i="1" s="1"/>
  <c r="F2245" i="1" a="1"/>
  <c r="F2245" i="1" s="1"/>
  <c r="F2244" i="1" s="1"/>
  <c r="K2243" i="1" a="1"/>
  <c r="K2243" i="1" s="1"/>
  <c r="K2242" i="1" s="1"/>
  <c r="J2243" i="1" a="1"/>
  <c r="J2243" i="1" s="1"/>
  <c r="J2242" i="1" s="1"/>
  <c r="I2243" i="1" a="1"/>
  <c r="I2243" i="1" s="1"/>
  <c r="I2242" i="1" s="1"/>
  <c r="H2243" i="1" a="1"/>
  <c r="H2243" i="1" s="1"/>
  <c r="H2242" i="1" s="1"/>
  <c r="G2243" i="1" a="1"/>
  <c r="G2243" i="1" s="1"/>
  <c r="G2242" i="1" s="1"/>
  <c r="F2243" i="1" a="1"/>
  <c r="F2243" i="1" s="1"/>
  <c r="F2242" i="1" s="1"/>
  <c r="K2241" i="1" a="1"/>
  <c r="K2241" i="1" s="1"/>
  <c r="K2240" i="1" s="1"/>
  <c r="J2241" i="1" a="1"/>
  <c r="J2241" i="1" s="1"/>
  <c r="J2240" i="1" s="1"/>
  <c r="I2241" i="1" a="1"/>
  <c r="I2241" i="1" s="1"/>
  <c r="I2240" i="1" s="1"/>
  <c r="H2241" i="1" a="1"/>
  <c r="H2241" i="1" s="1"/>
  <c r="H2240" i="1" s="1"/>
  <c r="G2241" i="1" a="1"/>
  <c r="G2241" i="1" s="1"/>
  <c r="G2240" i="1" s="1"/>
  <c r="F2241" i="1" a="1"/>
  <c r="F2241" i="1" s="1"/>
  <c r="F2240" i="1" s="1"/>
  <c r="K2239" i="1" a="1"/>
  <c r="K2239" i="1" s="1"/>
  <c r="K2238" i="1" s="1"/>
  <c r="J2239" i="1" a="1"/>
  <c r="J2239" i="1" s="1"/>
  <c r="J2238" i="1" s="1"/>
  <c r="I2239" i="1" a="1"/>
  <c r="I2239" i="1" s="1"/>
  <c r="I2238" i="1" s="1"/>
  <c r="H2239" i="1" a="1"/>
  <c r="H2239" i="1" s="1"/>
  <c r="H2238" i="1" s="1"/>
  <c r="G2239" i="1" a="1"/>
  <c r="G2239" i="1" s="1"/>
  <c r="G2238" i="1" s="1"/>
  <c r="F2239" i="1" a="1"/>
  <c r="F2239" i="1" s="1"/>
  <c r="F2238" i="1" s="1"/>
  <c r="K2237" i="1" a="1"/>
  <c r="K2237" i="1" s="1"/>
  <c r="J2237" i="1" a="1"/>
  <c r="J2237" i="1" s="1"/>
  <c r="I2237" i="1" a="1"/>
  <c r="I2237" i="1" s="1"/>
  <c r="H2237" i="1" a="1"/>
  <c r="H2237" i="1" s="1"/>
  <c r="G2237" i="1" a="1"/>
  <c r="G2237" i="1" s="1"/>
  <c r="F2237" i="1" a="1"/>
  <c r="F2237" i="1" s="1"/>
  <c r="K2236" i="1" a="1"/>
  <c r="K2236" i="1" s="1"/>
  <c r="J2236" i="1" a="1"/>
  <c r="J2236" i="1" s="1"/>
  <c r="I2236" i="1" a="1"/>
  <c r="I2236" i="1" s="1"/>
  <c r="H2236" i="1" a="1"/>
  <c r="H2236" i="1" s="1"/>
  <c r="H2235" i="1" s="1"/>
  <c r="G2236" i="1" a="1"/>
  <c r="G2236" i="1" s="1"/>
  <c r="G2235" i="1" s="1"/>
  <c r="F2236" i="1" a="1"/>
  <c r="F2236" i="1" s="1"/>
  <c r="F2235" i="1" s="1"/>
  <c r="K2234" i="1" a="1"/>
  <c r="K2234" i="1" s="1"/>
  <c r="K2233" i="1" s="1"/>
  <c r="J2234" i="1" a="1"/>
  <c r="J2234" i="1" s="1"/>
  <c r="J2233" i="1" s="1"/>
  <c r="I2234" i="1" a="1"/>
  <c r="I2234" i="1" s="1"/>
  <c r="I2233" i="1" s="1"/>
  <c r="H2234" i="1" a="1"/>
  <c r="H2234" i="1" s="1"/>
  <c r="H2233" i="1" s="1"/>
  <c r="G2234" i="1" a="1"/>
  <c r="G2234" i="1" s="1"/>
  <c r="G2233" i="1" s="1"/>
  <c r="F2234" i="1" a="1"/>
  <c r="F2234" i="1" s="1"/>
  <c r="F2233" i="1" s="1"/>
  <c r="K2232" i="1" a="1"/>
  <c r="K2232" i="1" s="1"/>
  <c r="J2232" i="1" a="1"/>
  <c r="J2232" i="1" s="1"/>
  <c r="I2232" i="1" a="1"/>
  <c r="I2232" i="1" s="1"/>
  <c r="H2232" i="1" a="1"/>
  <c r="H2232" i="1" s="1"/>
  <c r="G2232" i="1" a="1"/>
  <c r="G2232" i="1" s="1"/>
  <c r="F2232" i="1" a="1"/>
  <c r="F2232" i="1" s="1"/>
  <c r="K2231" i="1" a="1"/>
  <c r="K2231" i="1" s="1"/>
  <c r="K2230" i="1" s="1"/>
  <c r="J2231" i="1" a="1"/>
  <c r="J2231" i="1" s="1"/>
  <c r="I2231" i="1" a="1"/>
  <c r="I2231" i="1" s="1"/>
  <c r="I2230" i="1" s="1"/>
  <c r="H2231" i="1" a="1"/>
  <c r="H2231" i="1" s="1"/>
  <c r="H2230" i="1" s="1"/>
  <c r="G2231" i="1" a="1"/>
  <c r="G2231" i="1" s="1"/>
  <c r="G2230" i="1" s="1"/>
  <c r="F2231" i="1" a="1"/>
  <c r="F2231" i="1" s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K2227" i="1" a="1"/>
  <c r="K2227" i="1" s="1"/>
  <c r="J2227" i="1" a="1"/>
  <c r="J2227" i="1" s="1"/>
  <c r="I2227" i="1" a="1"/>
  <c r="I2227" i="1" s="1"/>
  <c r="H2227" i="1" a="1"/>
  <c r="H2227" i="1" s="1"/>
  <c r="G2227" i="1" a="1"/>
  <c r="G2227" i="1" s="1"/>
  <c r="F2227" i="1" a="1"/>
  <c r="F2227" i="1" s="1"/>
  <c r="K2226" i="1" a="1"/>
  <c r="K2226" i="1" s="1"/>
  <c r="J2226" i="1" a="1"/>
  <c r="J2226" i="1" s="1"/>
  <c r="I2226" i="1" a="1"/>
  <c r="I2226" i="1" s="1"/>
  <c r="H2226" i="1" a="1"/>
  <c r="H2226" i="1" s="1"/>
  <c r="G2226" i="1" a="1"/>
  <c r="G2226" i="1" s="1"/>
  <c r="F2226" i="1" a="1"/>
  <c r="F2226" i="1" s="1"/>
  <c r="K2224" i="1" a="1"/>
  <c r="K2224" i="1" s="1"/>
  <c r="K2225" i="1" s="1" a="1"/>
  <c r="K2225" i="1" s="1"/>
  <c r="J2224" i="1" a="1"/>
  <c r="J2224" i="1" s="1"/>
  <c r="J2225" i="1" s="1" a="1"/>
  <c r="J2225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K2222" i="1" a="1"/>
  <c r="K2222" i="1" s="1"/>
  <c r="K2223" i="1" s="1" a="1"/>
  <c r="K2223" i="1" s="1"/>
  <c r="J2222" i="1" a="1"/>
  <c r="J2222" i="1" s="1"/>
  <c r="J2223" i="1" s="1" a="1"/>
  <c r="J2223" i="1" s="1"/>
  <c r="I2222" i="1" a="1"/>
  <c r="I2222" i="1" s="1"/>
  <c r="I2223" i="1" s="1" a="1"/>
  <c r="I2223" i="1" s="1"/>
  <c r="H2222" i="1" a="1"/>
  <c r="H2222" i="1" s="1"/>
  <c r="H2223" i="1" s="1" a="1"/>
  <c r="H2223" i="1" s="1"/>
  <c r="G2222" i="1" a="1"/>
  <c r="G2222" i="1" s="1"/>
  <c r="G2223" i="1" s="1" a="1"/>
  <c r="G2223" i="1" s="1"/>
  <c r="F2222" i="1" a="1"/>
  <c r="F2222" i="1" s="1"/>
  <c r="F2223" i="1" s="1" a="1"/>
  <c r="F2223" i="1" s="1"/>
  <c r="K2221" i="1" a="1"/>
  <c r="K2221" i="1" s="1"/>
  <c r="J2221" i="1" a="1"/>
  <c r="J2221" i="1" s="1"/>
  <c r="I2221" i="1" a="1"/>
  <c r="I2221" i="1" s="1"/>
  <c r="H2221" i="1" a="1"/>
  <c r="H2221" i="1" s="1"/>
  <c r="G2221" i="1" a="1"/>
  <c r="G2221" i="1" s="1"/>
  <c r="F2221" i="1" a="1"/>
  <c r="F2221" i="1" s="1"/>
  <c r="K2219" i="1" a="1"/>
  <c r="K2219" i="1" s="1"/>
  <c r="K2220" i="1" s="1" a="1"/>
  <c r="K2220" i="1" s="1"/>
  <c r="J2219" i="1" a="1"/>
  <c r="J2219" i="1" s="1"/>
  <c r="J2220" i="1" s="1" a="1"/>
  <c r="J2220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K2217" i="1" a="1"/>
  <c r="K2217" i="1" s="1"/>
  <c r="J2217" i="1" a="1"/>
  <c r="J2217" i="1" s="1"/>
  <c r="I2217" i="1" a="1"/>
  <c r="I2217" i="1" s="1"/>
  <c r="H2217" i="1" a="1"/>
  <c r="H2217" i="1" s="1"/>
  <c r="G2217" i="1" a="1"/>
  <c r="G2217" i="1" s="1"/>
  <c r="F2217" i="1" a="1"/>
  <c r="F2217" i="1" s="1"/>
  <c r="K2216" i="1" a="1"/>
  <c r="K2216" i="1" s="1"/>
  <c r="J2216" i="1" a="1"/>
  <c r="J2216" i="1" s="1"/>
  <c r="I2216" i="1" a="1"/>
  <c r="I2216" i="1" s="1"/>
  <c r="H2216" i="1" a="1"/>
  <c r="H2216" i="1" s="1"/>
  <c r="G2216" i="1" a="1"/>
  <c r="G2216" i="1" s="1"/>
  <c r="F2216" i="1" a="1"/>
  <c r="F2216" i="1" s="1"/>
  <c r="K2214" i="1" a="1"/>
  <c r="K2214" i="1" s="1"/>
  <c r="K2215" i="1" s="1" a="1"/>
  <c r="K2215" i="1" s="1"/>
  <c r="J2214" i="1" a="1"/>
  <c r="J2214" i="1" s="1"/>
  <c r="J2215" i="1" s="1" a="1"/>
  <c r="J2215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K2212" i="1" a="1"/>
  <c r="K2212" i="1" s="1"/>
  <c r="K2213" i="1" s="1" a="1"/>
  <c r="K2213" i="1" s="1"/>
  <c r="J2212" i="1" a="1"/>
  <c r="J2212" i="1" s="1"/>
  <c r="J2213" i="1" s="1" a="1"/>
  <c r="J2213" i="1" s="1"/>
  <c r="I2212" i="1" a="1"/>
  <c r="I2212" i="1" s="1"/>
  <c r="I2213" i="1" s="1" a="1"/>
  <c r="I2213" i="1" s="1"/>
  <c r="H2212" i="1" a="1"/>
  <c r="H2212" i="1" s="1"/>
  <c r="H2213" i="1" s="1" a="1"/>
  <c r="H2213" i="1" s="1"/>
  <c r="G2212" i="1" a="1"/>
  <c r="G2212" i="1" s="1"/>
  <c r="G2213" i="1" s="1" a="1"/>
  <c r="G2213" i="1" s="1"/>
  <c r="F2212" i="1" a="1"/>
  <c r="F2212" i="1" s="1"/>
  <c r="F2213" i="1" s="1" a="1"/>
  <c r="F2213" i="1" s="1"/>
  <c r="K2211" i="1" a="1"/>
  <c r="K2211" i="1" s="1"/>
  <c r="J2211" i="1" a="1"/>
  <c r="J2211" i="1" s="1"/>
  <c r="I2211" i="1" a="1"/>
  <c r="I2211" i="1" s="1"/>
  <c r="H2211" i="1" a="1"/>
  <c r="H2211" i="1" s="1"/>
  <c r="G2211" i="1" a="1"/>
  <c r="G2211" i="1" s="1"/>
  <c r="F2211" i="1" a="1"/>
  <c r="F2211" i="1" s="1"/>
  <c r="K2209" i="1" a="1"/>
  <c r="K2209" i="1" s="1"/>
  <c r="K2210" i="1" s="1" a="1"/>
  <c r="K2210" i="1" s="1"/>
  <c r="J2209" i="1" a="1"/>
  <c r="J2209" i="1" s="1"/>
  <c r="J2210" i="1" s="1" a="1"/>
  <c r="J2210" i="1" s="1"/>
  <c r="I2209" i="1" a="1"/>
  <c r="I2209" i="1" s="1"/>
  <c r="I2210" i="1" s="1" a="1"/>
  <c r="I2210" i="1" s="1"/>
  <c r="H2209" i="1" a="1"/>
  <c r="H2209" i="1" s="1"/>
  <c r="H2210" i="1" s="1" a="1"/>
  <c r="H2210" i="1" s="1"/>
  <c r="G2209" i="1" a="1"/>
  <c r="G2209" i="1" s="1"/>
  <c r="G2210" i="1" s="1" a="1"/>
  <c r="G2210" i="1" s="1"/>
  <c r="F2209" i="1" a="1"/>
  <c r="F2209" i="1" s="1"/>
  <c r="F2210" i="1" s="1" a="1"/>
  <c r="F2210" i="1" s="1"/>
  <c r="K2207" i="1" a="1"/>
  <c r="K2207" i="1" s="1"/>
  <c r="J2207" i="1" a="1"/>
  <c r="J2207" i="1" s="1"/>
  <c r="I2207" i="1" a="1"/>
  <c r="I2207" i="1" s="1"/>
  <c r="H2207" i="1" a="1"/>
  <c r="H2207" i="1" s="1"/>
  <c r="G2207" i="1" a="1"/>
  <c r="G2207" i="1" s="1"/>
  <c r="F2207" i="1" a="1"/>
  <c r="F2207" i="1" s="1"/>
  <c r="K2206" i="1" a="1"/>
  <c r="K2206" i="1" s="1"/>
  <c r="J2206" i="1" a="1"/>
  <c r="J2206" i="1" s="1"/>
  <c r="I2206" i="1" a="1"/>
  <c r="I2206" i="1" s="1"/>
  <c r="H2206" i="1" a="1"/>
  <c r="H2206" i="1" s="1"/>
  <c r="G2206" i="1" a="1"/>
  <c r="G2206" i="1" s="1"/>
  <c r="F2206" i="1" a="1"/>
  <c r="F2206" i="1" s="1"/>
  <c r="K2205" i="1" a="1"/>
  <c r="K2205" i="1" s="1"/>
  <c r="J2205" i="1" a="1"/>
  <c r="J2205" i="1" s="1"/>
  <c r="I2205" i="1" a="1"/>
  <c r="I2205" i="1" s="1"/>
  <c r="H2205" i="1" a="1"/>
  <c r="H2205" i="1" s="1"/>
  <c r="G2205" i="1" a="1"/>
  <c r="G2205" i="1" s="1"/>
  <c r="F2205" i="1" a="1"/>
  <c r="F2205" i="1" s="1"/>
  <c r="K2204" i="1" a="1"/>
  <c r="K2204" i="1" s="1"/>
  <c r="J2204" i="1" a="1"/>
  <c r="J2204" i="1" s="1"/>
  <c r="I2204" i="1" a="1"/>
  <c r="I2204" i="1" s="1"/>
  <c r="H2204" i="1" a="1"/>
  <c r="H2204" i="1" s="1"/>
  <c r="G2204" i="1" a="1"/>
  <c r="G2204" i="1" s="1"/>
  <c r="F2204" i="1" a="1"/>
  <c r="F2204" i="1" s="1"/>
  <c r="K2203" i="1" a="1"/>
  <c r="K2203" i="1" s="1"/>
  <c r="J2203" i="1" a="1"/>
  <c r="J2203" i="1" s="1"/>
  <c r="I2203" i="1" a="1"/>
  <c r="I2203" i="1" s="1"/>
  <c r="H2203" i="1" a="1"/>
  <c r="H2203" i="1" s="1"/>
  <c r="G2203" i="1" a="1"/>
  <c r="G2203" i="1" s="1"/>
  <c r="F2203" i="1" a="1"/>
  <c r="F2203" i="1" s="1"/>
  <c r="K2202" i="1" a="1"/>
  <c r="K2202" i="1" s="1"/>
  <c r="J2202" i="1" a="1"/>
  <c r="J2202" i="1" s="1"/>
  <c r="I2202" i="1" a="1"/>
  <c r="I2202" i="1" s="1"/>
  <c r="H2202" i="1" a="1"/>
  <c r="H2202" i="1" s="1"/>
  <c r="G2202" i="1" a="1"/>
  <c r="G2202" i="1" s="1"/>
  <c r="F2202" i="1" a="1"/>
  <c r="F2202" i="1" s="1"/>
  <c r="K2201" i="1" a="1"/>
  <c r="K2201" i="1" s="1"/>
  <c r="J2201" i="1" a="1"/>
  <c r="J2201" i="1" s="1"/>
  <c r="I2201" i="1" a="1"/>
  <c r="I2201" i="1" s="1"/>
  <c r="H2201" i="1" a="1"/>
  <c r="H2201" i="1" s="1"/>
  <c r="G2201" i="1" a="1"/>
  <c r="G2201" i="1" s="1"/>
  <c r="F2201" i="1" a="1"/>
  <c r="F2201" i="1" s="1"/>
  <c r="K2200" i="1" a="1"/>
  <c r="K2200" i="1" s="1"/>
  <c r="J2200" i="1" a="1"/>
  <c r="J2200" i="1" s="1"/>
  <c r="I2200" i="1" a="1"/>
  <c r="I2200" i="1" s="1"/>
  <c r="H2200" i="1" a="1"/>
  <c r="H2200" i="1" s="1"/>
  <c r="G2200" i="1" a="1"/>
  <c r="G2200" i="1" s="1"/>
  <c r="F2200" i="1" a="1"/>
  <c r="F2200" i="1" s="1"/>
  <c r="K2199" i="1" a="1"/>
  <c r="K2199" i="1" s="1"/>
  <c r="J2199" i="1" a="1"/>
  <c r="J2199" i="1" s="1"/>
  <c r="I2199" i="1" a="1"/>
  <c r="I2199" i="1" s="1"/>
  <c r="H2199" i="1" a="1"/>
  <c r="H2199" i="1" s="1"/>
  <c r="G2199" i="1" a="1"/>
  <c r="G2199" i="1" s="1"/>
  <c r="F2199" i="1" a="1"/>
  <c r="F2199" i="1" s="1"/>
  <c r="K2198" i="1" a="1"/>
  <c r="K2198" i="1" s="1"/>
  <c r="J2198" i="1" a="1"/>
  <c r="J2198" i="1" s="1"/>
  <c r="I2198" i="1" a="1"/>
  <c r="I2198" i="1" s="1"/>
  <c r="H2198" i="1" a="1"/>
  <c r="H2198" i="1" s="1"/>
  <c r="G2198" i="1" a="1"/>
  <c r="G2198" i="1" s="1"/>
  <c r="F2198" i="1" a="1"/>
  <c r="F2198" i="1" s="1"/>
  <c r="K2197" i="1" a="1"/>
  <c r="K2197" i="1" s="1"/>
  <c r="J2197" i="1" a="1"/>
  <c r="J2197" i="1" s="1"/>
  <c r="I2197" i="1" a="1"/>
  <c r="I2197" i="1" s="1"/>
  <c r="H2197" i="1" a="1"/>
  <c r="H2197" i="1" s="1"/>
  <c r="G2197" i="1" a="1"/>
  <c r="G2197" i="1" s="1"/>
  <c r="F2197" i="1" a="1"/>
  <c r="F2197" i="1" s="1"/>
  <c r="K2196" i="1" a="1"/>
  <c r="K2196" i="1" s="1"/>
  <c r="J2196" i="1" a="1"/>
  <c r="J2196" i="1" s="1"/>
  <c r="I2196" i="1" a="1"/>
  <c r="I2196" i="1" s="1"/>
  <c r="H2196" i="1" a="1"/>
  <c r="H2196" i="1" s="1"/>
  <c r="G2196" i="1" a="1"/>
  <c r="G2196" i="1" s="1"/>
  <c r="F2196" i="1" a="1"/>
  <c r="F2196" i="1" s="1"/>
  <c r="K2195" i="1" a="1"/>
  <c r="K2195" i="1" s="1"/>
  <c r="J2195" i="1" a="1"/>
  <c r="J2195" i="1" s="1"/>
  <c r="I2195" i="1" a="1"/>
  <c r="I2195" i="1" s="1"/>
  <c r="H2195" i="1" a="1"/>
  <c r="H2195" i="1" s="1"/>
  <c r="G2195" i="1" a="1"/>
  <c r="G2195" i="1" s="1"/>
  <c r="F2195" i="1" a="1"/>
  <c r="F2195" i="1" s="1"/>
  <c r="K2194" i="1" a="1"/>
  <c r="K2194" i="1" s="1"/>
  <c r="J2194" i="1" a="1"/>
  <c r="J2194" i="1" s="1"/>
  <c r="I2194" i="1" a="1"/>
  <c r="I2194" i="1" s="1"/>
  <c r="H2194" i="1" a="1"/>
  <c r="H2194" i="1" s="1"/>
  <c r="G2194" i="1" a="1"/>
  <c r="G2194" i="1" s="1"/>
  <c r="F2194" i="1" a="1"/>
  <c r="F2194" i="1" s="1"/>
  <c r="K2193" i="1" a="1"/>
  <c r="K2193" i="1" s="1"/>
  <c r="J2193" i="1" a="1"/>
  <c r="J2193" i="1" s="1"/>
  <c r="I2193" i="1" a="1"/>
  <c r="I2193" i="1" s="1"/>
  <c r="H2193" i="1" a="1"/>
  <c r="H2193" i="1" s="1"/>
  <c r="G2193" i="1" a="1"/>
  <c r="G2193" i="1" s="1"/>
  <c r="F2193" i="1" a="1"/>
  <c r="F2193" i="1" s="1"/>
  <c r="K2192" i="1" a="1"/>
  <c r="K2192" i="1" s="1"/>
  <c r="J2192" i="1" a="1"/>
  <c r="J2192" i="1" s="1"/>
  <c r="I2192" i="1" a="1"/>
  <c r="I2192" i="1" s="1"/>
  <c r="H2192" i="1" a="1"/>
  <c r="H2192" i="1" s="1"/>
  <c r="G2192" i="1" a="1"/>
  <c r="G2192" i="1" s="1"/>
  <c r="F2192" i="1" a="1"/>
  <c r="F2192" i="1" s="1"/>
  <c r="K2191" i="1" a="1"/>
  <c r="K2191" i="1" s="1"/>
  <c r="J2191" i="1" a="1"/>
  <c r="J2191" i="1" s="1"/>
  <c r="I2191" i="1" a="1"/>
  <c r="I2191" i="1" s="1"/>
  <c r="H2191" i="1" a="1"/>
  <c r="H2191" i="1" s="1"/>
  <c r="G2191" i="1" a="1"/>
  <c r="G2191" i="1" s="1"/>
  <c r="F2191" i="1" a="1"/>
  <c r="F2191" i="1" s="1"/>
  <c r="K2190" i="1" a="1"/>
  <c r="K2190" i="1" s="1"/>
  <c r="J2190" i="1" a="1"/>
  <c r="J2190" i="1" s="1"/>
  <c r="I2190" i="1" a="1"/>
  <c r="I2190" i="1" s="1"/>
  <c r="H2190" i="1" a="1"/>
  <c r="H2190" i="1" s="1"/>
  <c r="G2190" i="1" a="1"/>
  <c r="G2190" i="1" s="1"/>
  <c r="F2190" i="1" a="1"/>
  <c r="F2190" i="1" s="1"/>
  <c r="K2189" i="1" a="1"/>
  <c r="K2189" i="1" s="1"/>
  <c r="J2189" i="1" a="1"/>
  <c r="J2189" i="1" s="1"/>
  <c r="I2189" i="1" a="1"/>
  <c r="I2189" i="1" s="1"/>
  <c r="H2189" i="1" a="1"/>
  <c r="H2189" i="1" s="1"/>
  <c r="G2189" i="1" a="1"/>
  <c r="G2189" i="1" s="1"/>
  <c r="F2189" i="1" a="1"/>
  <c r="F2189" i="1" s="1"/>
  <c r="K2188" i="1" a="1"/>
  <c r="K2188" i="1" s="1"/>
  <c r="J2188" i="1" a="1"/>
  <c r="J2188" i="1" s="1"/>
  <c r="I2188" i="1" a="1"/>
  <c r="I2188" i="1" s="1"/>
  <c r="H2188" i="1" a="1"/>
  <c r="H2188" i="1" s="1"/>
  <c r="G2188" i="1" a="1"/>
  <c r="G2188" i="1" s="1"/>
  <c r="F2188" i="1" a="1"/>
  <c r="F2188" i="1" s="1"/>
  <c r="K2187" i="1" a="1"/>
  <c r="K2187" i="1" s="1"/>
  <c r="J2187" i="1" a="1"/>
  <c r="J2187" i="1" s="1"/>
  <c r="I2187" i="1" a="1"/>
  <c r="I2187" i="1" s="1"/>
  <c r="H2187" i="1" a="1"/>
  <c r="H2187" i="1" s="1"/>
  <c r="G2187" i="1" a="1"/>
  <c r="G2187" i="1" s="1"/>
  <c r="F2187" i="1" a="1"/>
  <c r="F2187" i="1" s="1"/>
  <c r="K2186" i="1" a="1"/>
  <c r="K2186" i="1" s="1"/>
  <c r="J2186" i="1" a="1"/>
  <c r="J2186" i="1" s="1"/>
  <c r="I2186" i="1" a="1"/>
  <c r="I2186" i="1" s="1"/>
  <c r="H2186" i="1" a="1"/>
  <c r="H2186" i="1" s="1"/>
  <c r="G2186" i="1" a="1"/>
  <c r="G2186" i="1" s="1"/>
  <c r="F2186" i="1" a="1"/>
  <c r="F2186" i="1" s="1"/>
  <c r="K2185" i="1" a="1"/>
  <c r="K2185" i="1" s="1"/>
  <c r="J2185" i="1" a="1"/>
  <c r="J2185" i="1" s="1"/>
  <c r="I2185" i="1" a="1"/>
  <c r="I2185" i="1" s="1"/>
  <c r="H2185" i="1" a="1"/>
  <c r="H2185" i="1" s="1"/>
  <c r="G2185" i="1" a="1"/>
  <c r="G2185" i="1" s="1"/>
  <c r="F2185" i="1" a="1"/>
  <c r="F2185" i="1" s="1"/>
  <c r="K2183" i="1" a="1"/>
  <c r="K2183" i="1" s="1"/>
  <c r="J2183" i="1" a="1"/>
  <c r="J2183" i="1" s="1"/>
  <c r="I2183" i="1" a="1"/>
  <c r="I2183" i="1" s="1"/>
  <c r="H2183" i="1" a="1"/>
  <c r="H2183" i="1" s="1"/>
  <c r="G2183" i="1" a="1"/>
  <c r="G2183" i="1" s="1"/>
  <c r="F2183" i="1" a="1"/>
  <c r="F2183" i="1" s="1"/>
  <c r="K2182" i="1" a="1"/>
  <c r="K2182" i="1" s="1"/>
  <c r="J2182" i="1" a="1"/>
  <c r="J2182" i="1" s="1"/>
  <c r="I2182" i="1" a="1"/>
  <c r="I2182" i="1" s="1"/>
  <c r="H2182" i="1" a="1"/>
  <c r="H2182" i="1" s="1"/>
  <c r="G2182" i="1" a="1"/>
  <c r="G2182" i="1" s="1"/>
  <c r="F2182" i="1" a="1"/>
  <c r="F2182" i="1" s="1"/>
  <c r="K2181" i="1" a="1"/>
  <c r="K2181" i="1" s="1"/>
  <c r="J2181" i="1" a="1"/>
  <c r="J2181" i="1" s="1"/>
  <c r="I2181" i="1" a="1"/>
  <c r="I2181" i="1" s="1"/>
  <c r="H2181" i="1" a="1"/>
  <c r="H2181" i="1" s="1"/>
  <c r="G2181" i="1" a="1"/>
  <c r="G2181" i="1" s="1"/>
  <c r="F2181" i="1" a="1"/>
  <c r="F2181" i="1" s="1"/>
  <c r="K2180" i="1" a="1"/>
  <c r="K2180" i="1" s="1"/>
  <c r="J2180" i="1" a="1"/>
  <c r="J2180" i="1" s="1"/>
  <c r="I2180" i="1" a="1"/>
  <c r="I2180" i="1" s="1"/>
  <c r="H2180" i="1" a="1"/>
  <c r="H2180" i="1" s="1"/>
  <c r="G2180" i="1" a="1"/>
  <c r="G2180" i="1" s="1"/>
  <c r="F2180" i="1" a="1"/>
  <c r="F2180" i="1" s="1"/>
  <c r="K2179" i="1" a="1"/>
  <c r="K2179" i="1" s="1"/>
  <c r="J2179" i="1" a="1"/>
  <c r="J2179" i="1" s="1"/>
  <c r="I2179" i="1" a="1"/>
  <c r="I2179" i="1" s="1"/>
  <c r="H2179" i="1" a="1"/>
  <c r="H2179" i="1" s="1"/>
  <c r="G2179" i="1" a="1"/>
  <c r="G2179" i="1" s="1"/>
  <c r="F2179" i="1" a="1"/>
  <c r="F2179" i="1" s="1"/>
  <c r="K2178" i="1" a="1"/>
  <c r="K2178" i="1" s="1"/>
  <c r="J2178" i="1" a="1"/>
  <c r="J2178" i="1" s="1"/>
  <c r="I2178" i="1" a="1"/>
  <c r="I2178" i="1" s="1"/>
  <c r="H2178" i="1" a="1"/>
  <c r="H2178" i="1" s="1"/>
  <c r="G2178" i="1" a="1"/>
  <c r="G2178" i="1" s="1"/>
  <c r="F2178" i="1" a="1"/>
  <c r="F2178" i="1" s="1"/>
  <c r="K2177" i="1" a="1"/>
  <c r="K2177" i="1" s="1"/>
  <c r="J2177" i="1" a="1"/>
  <c r="J2177" i="1" s="1"/>
  <c r="I2177" i="1" a="1"/>
  <c r="I2177" i="1" s="1"/>
  <c r="H2177" i="1" a="1"/>
  <c r="H2177" i="1" s="1"/>
  <c r="G2177" i="1" a="1"/>
  <c r="G2177" i="1" s="1"/>
  <c r="F2177" i="1" a="1"/>
  <c r="F2177" i="1" s="1"/>
  <c r="K2176" i="1" a="1"/>
  <c r="K2176" i="1" s="1"/>
  <c r="J2176" i="1" a="1"/>
  <c r="J2176" i="1" s="1"/>
  <c r="I2176" i="1" a="1"/>
  <c r="I2176" i="1" s="1"/>
  <c r="H2176" i="1" a="1"/>
  <c r="H2176" i="1" s="1"/>
  <c r="G2176" i="1" a="1"/>
  <c r="G2176" i="1" s="1"/>
  <c r="F2176" i="1" a="1"/>
  <c r="F2176" i="1" s="1"/>
  <c r="K2175" i="1" a="1"/>
  <c r="K2175" i="1" s="1"/>
  <c r="J2175" i="1" a="1"/>
  <c r="J2175" i="1" s="1"/>
  <c r="I2175" i="1" a="1"/>
  <c r="I2175" i="1" s="1"/>
  <c r="H2175" i="1" a="1"/>
  <c r="H2175" i="1" s="1"/>
  <c r="G2175" i="1" a="1"/>
  <c r="G2175" i="1" s="1"/>
  <c r="F2175" i="1" a="1"/>
  <c r="F2175" i="1" s="1"/>
  <c r="K2174" i="1" a="1"/>
  <c r="K2174" i="1" s="1"/>
  <c r="J2174" i="1" a="1"/>
  <c r="J2174" i="1" s="1"/>
  <c r="I2174" i="1" a="1"/>
  <c r="I2174" i="1" s="1"/>
  <c r="H2174" i="1" a="1"/>
  <c r="H2174" i="1" s="1"/>
  <c r="G2174" i="1" a="1"/>
  <c r="G2174" i="1" s="1"/>
  <c r="F2174" i="1" a="1"/>
  <c r="F2174" i="1" s="1"/>
  <c r="K2173" i="1" a="1"/>
  <c r="K2173" i="1" s="1"/>
  <c r="J2173" i="1" a="1"/>
  <c r="J2173" i="1" s="1"/>
  <c r="I2173" i="1" a="1"/>
  <c r="I2173" i="1" s="1"/>
  <c r="H2173" i="1" a="1"/>
  <c r="H2173" i="1" s="1"/>
  <c r="G2173" i="1" a="1"/>
  <c r="G2173" i="1" s="1"/>
  <c r="F2173" i="1" a="1"/>
  <c r="F2173" i="1" s="1"/>
  <c r="K2172" i="1" a="1"/>
  <c r="K2172" i="1" s="1"/>
  <c r="J2172" i="1" a="1"/>
  <c r="J2172" i="1" s="1"/>
  <c r="I2172" i="1" a="1"/>
  <c r="I2172" i="1" s="1"/>
  <c r="H2172" i="1" a="1"/>
  <c r="H2172" i="1" s="1"/>
  <c r="G2172" i="1" a="1"/>
  <c r="G2172" i="1" s="1"/>
  <c r="F2172" i="1" a="1"/>
  <c r="F2172" i="1" s="1"/>
  <c r="K2171" i="1" a="1"/>
  <c r="K2171" i="1" s="1"/>
  <c r="J2171" i="1" a="1"/>
  <c r="J2171" i="1" s="1"/>
  <c r="I2171" i="1" a="1"/>
  <c r="I2171" i="1" s="1"/>
  <c r="H2171" i="1" a="1"/>
  <c r="H2171" i="1" s="1"/>
  <c r="G2171" i="1" a="1"/>
  <c r="G2171" i="1" s="1"/>
  <c r="F2171" i="1" a="1"/>
  <c r="F2171" i="1" s="1"/>
  <c r="K2170" i="1" a="1"/>
  <c r="K2170" i="1" s="1"/>
  <c r="J2170" i="1" a="1"/>
  <c r="J2170" i="1" s="1"/>
  <c r="I2170" i="1" a="1"/>
  <c r="I2170" i="1" s="1"/>
  <c r="H2170" i="1" a="1"/>
  <c r="H2170" i="1" s="1"/>
  <c r="G2170" i="1" a="1"/>
  <c r="G2170" i="1" s="1"/>
  <c r="F2170" i="1" a="1"/>
  <c r="F2170" i="1" s="1"/>
  <c r="K2169" i="1" a="1"/>
  <c r="K2169" i="1" s="1"/>
  <c r="J2169" i="1" a="1"/>
  <c r="J2169" i="1" s="1"/>
  <c r="I2169" i="1" a="1"/>
  <c r="I2169" i="1" s="1"/>
  <c r="H2169" i="1" a="1"/>
  <c r="H2169" i="1" s="1"/>
  <c r="G2169" i="1" a="1"/>
  <c r="G2169" i="1" s="1"/>
  <c r="F2169" i="1" a="1"/>
  <c r="F2169" i="1" s="1"/>
  <c r="K2168" i="1" a="1"/>
  <c r="K2168" i="1" s="1"/>
  <c r="J2168" i="1" a="1"/>
  <c r="J2168" i="1" s="1"/>
  <c r="I2168" i="1" a="1"/>
  <c r="I2168" i="1" s="1"/>
  <c r="H2168" i="1" a="1"/>
  <c r="H2168" i="1" s="1"/>
  <c r="G2168" i="1" a="1"/>
  <c r="G2168" i="1" s="1"/>
  <c r="F2168" i="1" a="1"/>
  <c r="F2168" i="1" s="1"/>
  <c r="K2167" i="1" a="1"/>
  <c r="K2167" i="1" s="1"/>
  <c r="J2167" i="1" a="1"/>
  <c r="J2167" i="1" s="1"/>
  <c r="I2167" i="1" a="1"/>
  <c r="I2167" i="1" s="1"/>
  <c r="H2167" i="1" a="1"/>
  <c r="H2167" i="1" s="1"/>
  <c r="G2167" i="1" a="1"/>
  <c r="G2167" i="1" s="1"/>
  <c r="F2167" i="1" a="1"/>
  <c r="F2167" i="1" s="1"/>
  <c r="K2166" i="1" a="1"/>
  <c r="K2166" i="1" s="1"/>
  <c r="J2166" i="1" a="1"/>
  <c r="J2166" i="1" s="1"/>
  <c r="I2166" i="1" a="1"/>
  <c r="I2166" i="1" s="1"/>
  <c r="H2166" i="1" a="1"/>
  <c r="H2166" i="1" s="1"/>
  <c r="G2166" i="1" a="1"/>
  <c r="G2166" i="1" s="1"/>
  <c r="F2166" i="1" a="1"/>
  <c r="F2166" i="1" s="1"/>
  <c r="K2165" i="1" a="1"/>
  <c r="K2165" i="1" s="1"/>
  <c r="J2165" i="1" a="1"/>
  <c r="J2165" i="1" s="1"/>
  <c r="I2165" i="1" a="1"/>
  <c r="I2165" i="1" s="1"/>
  <c r="H2165" i="1" a="1"/>
  <c r="H2165" i="1" s="1"/>
  <c r="G2165" i="1" a="1"/>
  <c r="G2165" i="1" s="1"/>
  <c r="F2165" i="1" a="1"/>
  <c r="F2165" i="1" s="1"/>
  <c r="K2164" i="1" a="1"/>
  <c r="K2164" i="1" s="1"/>
  <c r="J2164" i="1" a="1"/>
  <c r="J2164" i="1" s="1"/>
  <c r="I2164" i="1" a="1"/>
  <c r="I2164" i="1" s="1"/>
  <c r="H2164" i="1" a="1"/>
  <c r="H2164" i="1" s="1"/>
  <c r="G2164" i="1" a="1"/>
  <c r="G2164" i="1" s="1"/>
  <c r="F2164" i="1" a="1"/>
  <c r="F2164" i="1" s="1"/>
  <c r="K2163" i="1" a="1"/>
  <c r="K2163" i="1" s="1"/>
  <c r="J2163" i="1" a="1"/>
  <c r="J2163" i="1" s="1"/>
  <c r="I2163" i="1" a="1"/>
  <c r="I2163" i="1" s="1"/>
  <c r="H2163" i="1" a="1"/>
  <c r="H2163" i="1" s="1"/>
  <c r="G2163" i="1" a="1"/>
  <c r="G2163" i="1" s="1"/>
  <c r="F2163" i="1" a="1"/>
  <c r="F2163" i="1" s="1"/>
  <c r="K2162" i="1" a="1"/>
  <c r="K2162" i="1" s="1"/>
  <c r="J2162" i="1" a="1"/>
  <c r="J2162" i="1" s="1"/>
  <c r="I2162" i="1" a="1"/>
  <c r="I2162" i="1" s="1"/>
  <c r="H2162" i="1" a="1"/>
  <c r="H2162" i="1" s="1"/>
  <c r="G2162" i="1" a="1"/>
  <c r="G2162" i="1" s="1"/>
  <c r="F2162" i="1" a="1"/>
  <c r="F2162" i="1" s="1"/>
  <c r="K2161" i="1" a="1"/>
  <c r="K2161" i="1" s="1"/>
  <c r="J2161" i="1" a="1"/>
  <c r="J2161" i="1" s="1"/>
  <c r="I2161" i="1" a="1"/>
  <c r="I2161" i="1" s="1"/>
  <c r="H2161" i="1" a="1"/>
  <c r="H2161" i="1" s="1"/>
  <c r="G2161" i="1" a="1"/>
  <c r="G2161" i="1" s="1"/>
  <c r="F2161" i="1" a="1"/>
  <c r="F2161" i="1" s="1"/>
  <c r="K2159" i="1" a="1"/>
  <c r="K2159" i="1" s="1"/>
  <c r="J2159" i="1" a="1"/>
  <c r="J2159" i="1" s="1"/>
  <c r="I2159" i="1" a="1"/>
  <c r="I2159" i="1" s="1"/>
  <c r="H2159" i="1" a="1"/>
  <c r="H2159" i="1" s="1"/>
  <c r="G2159" i="1" a="1"/>
  <c r="G2159" i="1" s="1"/>
  <c r="F2159" i="1" a="1"/>
  <c r="F2159" i="1" s="1"/>
  <c r="K2158" i="1" a="1"/>
  <c r="K2158" i="1" s="1"/>
  <c r="J2158" i="1" a="1"/>
  <c r="J2158" i="1" s="1"/>
  <c r="I2158" i="1" a="1"/>
  <c r="I2158" i="1" s="1"/>
  <c r="H2158" i="1" a="1"/>
  <c r="H2158" i="1" s="1"/>
  <c r="G2158" i="1" a="1"/>
  <c r="G2158" i="1" s="1"/>
  <c r="F2158" i="1" a="1"/>
  <c r="F2158" i="1" s="1"/>
  <c r="K2157" i="1" a="1"/>
  <c r="K2157" i="1" s="1"/>
  <c r="J2157" i="1" a="1"/>
  <c r="J2157" i="1" s="1"/>
  <c r="I2157" i="1" a="1"/>
  <c r="I2157" i="1" s="1"/>
  <c r="H2157" i="1" a="1"/>
  <c r="H2157" i="1" s="1"/>
  <c r="G2157" i="1" a="1"/>
  <c r="G2157" i="1" s="1"/>
  <c r="F2157" i="1" a="1"/>
  <c r="F2157" i="1" s="1"/>
  <c r="K2156" i="1" a="1"/>
  <c r="K2156" i="1" s="1"/>
  <c r="J2156" i="1" a="1"/>
  <c r="J2156" i="1" s="1"/>
  <c r="I2156" i="1" a="1"/>
  <c r="I2156" i="1" s="1"/>
  <c r="H2156" i="1" a="1"/>
  <c r="H2156" i="1" s="1"/>
  <c r="G2156" i="1" a="1"/>
  <c r="G2156" i="1" s="1"/>
  <c r="F2156" i="1" a="1"/>
  <c r="F2156" i="1" s="1"/>
  <c r="K2155" i="1" a="1"/>
  <c r="K2155" i="1" s="1"/>
  <c r="J2155" i="1" a="1"/>
  <c r="J2155" i="1" s="1"/>
  <c r="I2155" i="1" a="1"/>
  <c r="I2155" i="1" s="1"/>
  <c r="H2155" i="1" a="1"/>
  <c r="H2155" i="1" s="1"/>
  <c r="G2155" i="1" a="1"/>
  <c r="G2155" i="1" s="1"/>
  <c r="F2155" i="1" a="1"/>
  <c r="F2155" i="1" s="1"/>
  <c r="K2154" i="1" a="1"/>
  <c r="K2154" i="1" s="1"/>
  <c r="J2154" i="1" a="1"/>
  <c r="J2154" i="1" s="1"/>
  <c r="I2154" i="1" a="1"/>
  <c r="I2154" i="1" s="1"/>
  <c r="H2154" i="1" a="1"/>
  <c r="H2154" i="1" s="1"/>
  <c r="G2154" i="1" a="1"/>
  <c r="G2154" i="1" s="1"/>
  <c r="F2154" i="1" a="1"/>
  <c r="F2154" i="1" s="1"/>
  <c r="K2153" i="1" a="1"/>
  <c r="K2153" i="1" s="1"/>
  <c r="J2153" i="1" a="1"/>
  <c r="J2153" i="1" s="1"/>
  <c r="I2153" i="1" a="1"/>
  <c r="I2153" i="1" s="1"/>
  <c r="H2153" i="1" a="1"/>
  <c r="H2153" i="1" s="1"/>
  <c r="G2153" i="1" a="1"/>
  <c r="G2153" i="1" s="1"/>
  <c r="F2153" i="1" a="1"/>
  <c r="F2153" i="1" s="1"/>
  <c r="K2152" i="1" a="1"/>
  <c r="K2152" i="1" s="1"/>
  <c r="J2152" i="1" a="1"/>
  <c r="J2152" i="1" s="1"/>
  <c r="I2152" i="1" a="1"/>
  <c r="I2152" i="1" s="1"/>
  <c r="H2152" i="1" a="1"/>
  <c r="H2152" i="1" s="1"/>
  <c r="G2152" i="1" a="1"/>
  <c r="G2152" i="1" s="1"/>
  <c r="F2152" i="1" a="1"/>
  <c r="F2152" i="1" s="1"/>
  <c r="K2151" i="1" a="1"/>
  <c r="K2151" i="1" s="1"/>
  <c r="J2151" i="1" a="1"/>
  <c r="J2151" i="1" s="1"/>
  <c r="I2151" i="1" a="1"/>
  <c r="I2151" i="1" s="1"/>
  <c r="H2151" i="1" a="1"/>
  <c r="H2151" i="1" s="1"/>
  <c r="G2151" i="1" a="1"/>
  <c r="G2151" i="1" s="1"/>
  <c r="F2151" i="1" a="1"/>
  <c r="F2151" i="1" s="1"/>
  <c r="K2150" i="1" a="1"/>
  <c r="K2150" i="1" s="1"/>
  <c r="J2150" i="1" a="1"/>
  <c r="J2150" i="1" s="1"/>
  <c r="I2150" i="1" a="1"/>
  <c r="I2150" i="1" s="1"/>
  <c r="H2150" i="1" a="1"/>
  <c r="H2150" i="1" s="1"/>
  <c r="G2150" i="1" a="1"/>
  <c r="G2150" i="1" s="1"/>
  <c r="F2150" i="1" a="1"/>
  <c r="F2150" i="1" s="1"/>
  <c r="K2149" i="1" a="1"/>
  <c r="K2149" i="1" s="1"/>
  <c r="J2149" i="1" a="1"/>
  <c r="J2149" i="1" s="1"/>
  <c r="I2149" i="1" a="1"/>
  <c r="I2149" i="1" s="1"/>
  <c r="H2149" i="1" a="1"/>
  <c r="H2149" i="1" s="1"/>
  <c r="G2149" i="1" a="1"/>
  <c r="G2149" i="1" s="1"/>
  <c r="F2149" i="1" a="1"/>
  <c r="F2149" i="1" s="1"/>
  <c r="K2148" i="1" a="1"/>
  <c r="K2148" i="1" s="1"/>
  <c r="J2148" i="1" a="1"/>
  <c r="J2148" i="1" s="1"/>
  <c r="I2148" i="1" a="1"/>
  <c r="I2148" i="1" s="1"/>
  <c r="H2148" i="1" a="1"/>
  <c r="H2148" i="1" s="1"/>
  <c r="G2148" i="1" a="1"/>
  <c r="G2148" i="1" s="1"/>
  <c r="F2148" i="1" a="1"/>
  <c r="F2148" i="1" s="1"/>
  <c r="K2147" i="1" a="1"/>
  <c r="K2147" i="1" s="1"/>
  <c r="J2147" i="1" a="1"/>
  <c r="J2147" i="1" s="1"/>
  <c r="I2147" i="1" a="1"/>
  <c r="I2147" i="1" s="1"/>
  <c r="H2147" i="1" a="1"/>
  <c r="H2147" i="1" s="1"/>
  <c r="G2147" i="1" a="1"/>
  <c r="G2147" i="1" s="1"/>
  <c r="F2147" i="1" a="1"/>
  <c r="F2147" i="1" s="1"/>
  <c r="K2146" i="1" a="1"/>
  <c r="K2146" i="1" s="1"/>
  <c r="J2146" i="1" a="1"/>
  <c r="J2146" i="1" s="1"/>
  <c r="I2146" i="1" a="1"/>
  <c r="I2146" i="1" s="1"/>
  <c r="H2146" i="1" a="1"/>
  <c r="H2146" i="1" s="1"/>
  <c r="G2146" i="1" a="1"/>
  <c r="G2146" i="1" s="1"/>
  <c r="F2146" i="1" a="1"/>
  <c r="F2146" i="1" s="1"/>
  <c r="K2145" i="1" a="1"/>
  <c r="K2145" i="1" s="1"/>
  <c r="J2145" i="1" a="1"/>
  <c r="J2145" i="1" s="1"/>
  <c r="I2145" i="1" a="1"/>
  <c r="I2145" i="1" s="1"/>
  <c r="H2145" i="1" a="1"/>
  <c r="H2145" i="1" s="1"/>
  <c r="G2145" i="1" a="1"/>
  <c r="G2145" i="1" s="1"/>
  <c r="F2145" i="1" a="1"/>
  <c r="F2145" i="1" s="1"/>
  <c r="K2144" i="1" a="1"/>
  <c r="K2144" i="1" s="1"/>
  <c r="J2144" i="1" a="1"/>
  <c r="J2144" i="1" s="1"/>
  <c r="I2144" i="1" a="1"/>
  <c r="I2144" i="1" s="1"/>
  <c r="H2144" i="1" a="1"/>
  <c r="H2144" i="1" s="1"/>
  <c r="G2144" i="1" a="1"/>
  <c r="G2144" i="1" s="1"/>
  <c r="F2144" i="1" a="1"/>
  <c r="F2144" i="1" s="1"/>
  <c r="K2143" i="1" a="1"/>
  <c r="K2143" i="1" s="1"/>
  <c r="J2143" i="1" a="1"/>
  <c r="J2143" i="1" s="1"/>
  <c r="I2143" i="1" a="1"/>
  <c r="I2143" i="1" s="1"/>
  <c r="H2143" i="1" a="1"/>
  <c r="H2143" i="1" s="1"/>
  <c r="G2143" i="1" a="1"/>
  <c r="G2143" i="1" s="1"/>
  <c r="F2143" i="1" a="1"/>
  <c r="F2143" i="1" s="1"/>
  <c r="K2142" i="1" a="1"/>
  <c r="K2142" i="1" s="1"/>
  <c r="J2142" i="1" a="1"/>
  <c r="J2142" i="1" s="1"/>
  <c r="I2142" i="1" a="1"/>
  <c r="I2142" i="1" s="1"/>
  <c r="H2142" i="1" a="1"/>
  <c r="H2142" i="1" s="1"/>
  <c r="G2142" i="1" a="1"/>
  <c r="G2142" i="1" s="1"/>
  <c r="F2142" i="1" a="1"/>
  <c r="F2142" i="1" s="1"/>
  <c r="K2141" i="1" a="1"/>
  <c r="K2141" i="1" s="1"/>
  <c r="J2141" i="1" a="1"/>
  <c r="J2141" i="1" s="1"/>
  <c r="I2141" i="1" a="1"/>
  <c r="I2141" i="1" s="1"/>
  <c r="H2141" i="1" a="1"/>
  <c r="H2141" i="1" s="1"/>
  <c r="G2141" i="1" a="1"/>
  <c r="G2141" i="1" s="1"/>
  <c r="F2141" i="1" a="1"/>
  <c r="F2141" i="1" s="1"/>
  <c r="K2140" i="1" a="1"/>
  <c r="K2140" i="1" s="1"/>
  <c r="J2140" i="1" a="1"/>
  <c r="J2140" i="1" s="1"/>
  <c r="I2140" i="1" a="1"/>
  <c r="I2140" i="1" s="1"/>
  <c r="H2140" i="1" a="1"/>
  <c r="H2140" i="1" s="1"/>
  <c r="G2140" i="1" a="1"/>
  <c r="G2140" i="1" s="1"/>
  <c r="F2140" i="1" a="1"/>
  <c r="F2140" i="1" s="1"/>
  <c r="K2139" i="1" a="1"/>
  <c r="K2139" i="1" s="1"/>
  <c r="J2139" i="1" a="1"/>
  <c r="J2139" i="1" s="1"/>
  <c r="I2139" i="1" a="1"/>
  <c r="I2139" i="1" s="1"/>
  <c r="H2139" i="1" a="1"/>
  <c r="H2139" i="1" s="1"/>
  <c r="G2139" i="1" a="1"/>
  <c r="G2139" i="1" s="1"/>
  <c r="F2139" i="1" a="1"/>
  <c r="F2139" i="1" s="1"/>
  <c r="K2138" i="1" a="1"/>
  <c r="K2138" i="1" s="1"/>
  <c r="J2138" i="1" a="1"/>
  <c r="J2138" i="1" s="1"/>
  <c r="I2138" i="1" a="1"/>
  <c r="I2138" i="1" s="1"/>
  <c r="H2138" i="1" a="1"/>
  <c r="H2138" i="1" s="1"/>
  <c r="G2138" i="1" a="1"/>
  <c r="G2138" i="1" s="1"/>
  <c r="F2138" i="1" a="1"/>
  <c r="F2138" i="1" s="1"/>
  <c r="K2137" i="1" a="1"/>
  <c r="K2137" i="1" s="1"/>
  <c r="J2137" i="1" a="1"/>
  <c r="J2137" i="1" s="1"/>
  <c r="I2137" i="1" a="1"/>
  <c r="I2137" i="1" s="1"/>
  <c r="H2137" i="1" a="1"/>
  <c r="H2137" i="1" s="1"/>
  <c r="G2137" i="1" a="1"/>
  <c r="G2137" i="1" s="1"/>
  <c r="F2137" i="1" a="1"/>
  <c r="F2137" i="1" s="1"/>
  <c r="K2136" i="1" a="1"/>
  <c r="K2136" i="1" s="1"/>
  <c r="J2136" i="1" a="1"/>
  <c r="J2136" i="1" s="1"/>
  <c r="I2136" i="1" a="1"/>
  <c r="I2136" i="1" s="1"/>
  <c r="H2136" i="1" a="1"/>
  <c r="H2136" i="1" s="1"/>
  <c r="G2136" i="1" a="1"/>
  <c r="G2136" i="1" s="1"/>
  <c r="F2136" i="1" a="1"/>
  <c r="F2136" i="1" s="1"/>
  <c r="K2135" i="1" a="1"/>
  <c r="K2135" i="1" s="1"/>
  <c r="J2135" i="1" a="1"/>
  <c r="J2135" i="1" s="1"/>
  <c r="I2135" i="1" a="1"/>
  <c r="I2135" i="1" s="1"/>
  <c r="H2135" i="1" a="1"/>
  <c r="H2135" i="1" s="1"/>
  <c r="G2135" i="1" a="1"/>
  <c r="G2135" i="1" s="1"/>
  <c r="F2135" i="1" a="1"/>
  <c r="F2135" i="1" s="1"/>
  <c r="K2134" i="1" a="1"/>
  <c r="K2134" i="1" s="1"/>
  <c r="J2134" i="1" a="1"/>
  <c r="J2134" i="1" s="1"/>
  <c r="I2134" i="1" a="1"/>
  <c r="I2134" i="1" s="1"/>
  <c r="H2134" i="1" a="1"/>
  <c r="H2134" i="1" s="1"/>
  <c r="G2134" i="1" a="1"/>
  <c r="G2134" i="1" s="1"/>
  <c r="F2134" i="1" a="1"/>
  <c r="F2134" i="1" s="1"/>
  <c r="K2133" i="1" a="1"/>
  <c r="K2133" i="1" s="1"/>
  <c r="J2133" i="1" a="1"/>
  <c r="J2133" i="1" s="1"/>
  <c r="I2133" i="1" a="1"/>
  <c r="I2133" i="1" s="1"/>
  <c r="H2133" i="1" a="1"/>
  <c r="H2133" i="1" s="1"/>
  <c r="G2133" i="1" a="1"/>
  <c r="G2133" i="1" s="1"/>
  <c r="F2133" i="1" a="1"/>
  <c r="F2133" i="1" s="1"/>
  <c r="K2132" i="1" a="1"/>
  <c r="K2132" i="1" s="1"/>
  <c r="J2132" i="1" a="1"/>
  <c r="J2132" i="1" s="1"/>
  <c r="I2132" i="1" a="1"/>
  <c r="I2132" i="1" s="1"/>
  <c r="H2132" i="1" a="1"/>
  <c r="H2132" i="1" s="1"/>
  <c r="G2132" i="1" a="1"/>
  <c r="G2132" i="1" s="1"/>
  <c r="F2132" i="1" a="1"/>
  <c r="F2132" i="1" s="1"/>
  <c r="K2131" i="1" a="1"/>
  <c r="K2131" i="1" s="1"/>
  <c r="J2131" i="1" a="1"/>
  <c r="J2131" i="1" s="1"/>
  <c r="I2131" i="1" a="1"/>
  <c r="I2131" i="1" s="1"/>
  <c r="H2131" i="1" a="1"/>
  <c r="H2131" i="1" s="1"/>
  <c r="G2131" i="1" a="1"/>
  <c r="G2131" i="1" s="1"/>
  <c r="F2131" i="1" a="1"/>
  <c r="F2131" i="1" s="1"/>
  <c r="K2130" i="1" a="1"/>
  <c r="K2130" i="1" s="1"/>
  <c r="J2130" i="1" a="1"/>
  <c r="J2130" i="1" s="1"/>
  <c r="I2130" i="1" a="1"/>
  <c r="I2130" i="1" s="1"/>
  <c r="H2130" i="1" a="1"/>
  <c r="H2130" i="1" s="1"/>
  <c r="G2130" i="1" a="1"/>
  <c r="G2130" i="1" s="1"/>
  <c r="F2130" i="1" a="1"/>
  <c r="F2130" i="1" s="1"/>
  <c r="K2129" i="1" a="1"/>
  <c r="K2129" i="1" s="1"/>
  <c r="J2129" i="1" a="1"/>
  <c r="J2129" i="1" s="1"/>
  <c r="I2129" i="1" a="1"/>
  <c r="I2129" i="1" s="1"/>
  <c r="H2129" i="1" a="1"/>
  <c r="H2129" i="1" s="1"/>
  <c r="G2129" i="1" a="1"/>
  <c r="G2129" i="1" s="1"/>
  <c r="F2129" i="1" a="1"/>
  <c r="F2129" i="1" s="1"/>
  <c r="K2128" i="1" a="1"/>
  <c r="K2128" i="1" s="1"/>
  <c r="J2128" i="1" a="1"/>
  <c r="J2128" i="1" s="1"/>
  <c r="I2128" i="1" a="1"/>
  <c r="I2128" i="1" s="1"/>
  <c r="H2128" i="1" a="1"/>
  <c r="H2128" i="1" s="1"/>
  <c r="G2128" i="1" a="1"/>
  <c r="G2128" i="1" s="1"/>
  <c r="F2128" i="1" a="1"/>
  <c r="F2128" i="1" s="1"/>
  <c r="K2127" i="1" a="1"/>
  <c r="K2127" i="1" s="1"/>
  <c r="J2127" i="1" a="1"/>
  <c r="J2127" i="1" s="1"/>
  <c r="I2127" i="1" a="1"/>
  <c r="I2127" i="1" s="1"/>
  <c r="H2127" i="1" a="1"/>
  <c r="H2127" i="1" s="1"/>
  <c r="G2127" i="1" a="1"/>
  <c r="G2127" i="1" s="1"/>
  <c r="F2127" i="1" a="1"/>
  <c r="F2127" i="1" s="1"/>
  <c r="K2126" i="1" a="1"/>
  <c r="K2126" i="1" s="1"/>
  <c r="J2126" i="1" a="1"/>
  <c r="J2126" i="1" s="1"/>
  <c r="I2126" i="1" a="1"/>
  <c r="I2126" i="1" s="1"/>
  <c r="H2126" i="1" a="1"/>
  <c r="H2126" i="1" s="1"/>
  <c r="G2126" i="1" a="1"/>
  <c r="G2126" i="1" s="1"/>
  <c r="F2126" i="1" a="1"/>
  <c r="F2126" i="1" s="1"/>
  <c r="K2125" i="1" a="1"/>
  <c r="K2125" i="1" s="1"/>
  <c r="J2125" i="1" a="1"/>
  <c r="J2125" i="1" s="1"/>
  <c r="I2125" i="1" a="1"/>
  <c r="I2125" i="1" s="1"/>
  <c r="H2125" i="1" a="1"/>
  <c r="H2125" i="1" s="1"/>
  <c r="G2125" i="1" a="1"/>
  <c r="G2125" i="1" s="1"/>
  <c r="F2125" i="1" a="1"/>
  <c r="F2125" i="1" s="1"/>
  <c r="K2124" i="1" a="1"/>
  <c r="K2124" i="1" s="1"/>
  <c r="J2124" i="1" a="1"/>
  <c r="J2124" i="1" s="1"/>
  <c r="I2124" i="1" a="1"/>
  <c r="I2124" i="1" s="1"/>
  <c r="H2124" i="1" a="1"/>
  <c r="H2124" i="1" s="1"/>
  <c r="G2124" i="1" a="1"/>
  <c r="G2124" i="1" s="1"/>
  <c r="F2124" i="1" a="1"/>
  <c r="F2124" i="1" s="1"/>
  <c r="K2123" i="1" a="1"/>
  <c r="K2123" i="1" s="1"/>
  <c r="J2123" i="1" a="1"/>
  <c r="J2123" i="1" s="1"/>
  <c r="I2123" i="1" a="1"/>
  <c r="I2123" i="1" s="1"/>
  <c r="H2123" i="1" a="1"/>
  <c r="H2123" i="1" s="1"/>
  <c r="G2123" i="1" a="1"/>
  <c r="G2123" i="1" s="1"/>
  <c r="F2123" i="1" a="1"/>
  <c r="F2123" i="1" s="1"/>
  <c r="K2122" i="1" a="1"/>
  <c r="K2122" i="1" s="1"/>
  <c r="J2122" i="1" a="1"/>
  <c r="J2122" i="1" s="1"/>
  <c r="I2122" i="1" a="1"/>
  <c r="I2122" i="1" s="1"/>
  <c r="H2122" i="1" a="1"/>
  <c r="H2122" i="1" s="1"/>
  <c r="G2122" i="1" a="1"/>
  <c r="G2122" i="1" s="1"/>
  <c r="F2122" i="1" a="1"/>
  <c r="F2122" i="1" s="1"/>
  <c r="K2121" i="1" a="1"/>
  <c r="K2121" i="1" s="1"/>
  <c r="J2121" i="1" a="1"/>
  <c r="J2121" i="1" s="1"/>
  <c r="I2121" i="1" a="1"/>
  <c r="I2121" i="1" s="1"/>
  <c r="H2121" i="1" a="1"/>
  <c r="H2121" i="1" s="1"/>
  <c r="G2121" i="1" a="1"/>
  <c r="G2121" i="1" s="1"/>
  <c r="F2121" i="1" a="1"/>
  <c r="F2121" i="1" s="1"/>
  <c r="K2120" i="1" a="1"/>
  <c r="K2120" i="1" s="1"/>
  <c r="J2120" i="1" a="1"/>
  <c r="J2120" i="1" s="1"/>
  <c r="I2120" i="1" a="1"/>
  <c r="I2120" i="1" s="1"/>
  <c r="H2120" i="1" a="1"/>
  <c r="H2120" i="1" s="1"/>
  <c r="G2120" i="1" a="1"/>
  <c r="G2120" i="1" s="1"/>
  <c r="F2120" i="1" a="1"/>
  <c r="F2120" i="1" s="1"/>
  <c r="K2119" i="1" a="1"/>
  <c r="K2119" i="1" s="1"/>
  <c r="J2119" i="1" a="1"/>
  <c r="J2119" i="1" s="1"/>
  <c r="I2119" i="1" a="1"/>
  <c r="I2119" i="1" s="1"/>
  <c r="H2119" i="1" a="1"/>
  <c r="H2119" i="1" s="1"/>
  <c r="G2119" i="1" a="1"/>
  <c r="G2119" i="1" s="1"/>
  <c r="F2119" i="1" a="1"/>
  <c r="F2119" i="1" s="1"/>
  <c r="K2118" i="1" a="1"/>
  <c r="K2118" i="1" s="1"/>
  <c r="J2118" i="1" a="1"/>
  <c r="J2118" i="1" s="1"/>
  <c r="I2118" i="1" a="1"/>
  <c r="I2118" i="1" s="1"/>
  <c r="H2118" i="1" a="1"/>
  <c r="H2118" i="1" s="1"/>
  <c r="G2118" i="1" a="1"/>
  <c r="G2118" i="1" s="1"/>
  <c r="F2118" i="1" a="1"/>
  <c r="F2118" i="1" s="1"/>
  <c r="K2117" i="1" a="1"/>
  <c r="K2117" i="1" s="1"/>
  <c r="J2117" i="1" a="1"/>
  <c r="J2117" i="1" s="1"/>
  <c r="I2117" i="1" a="1"/>
  <c r="I2117" i="1" s="1"/>
  <c r="H2117" i="1" a="1"/>
  <c r="H2117" i="1" s="1"/>
  <c r="G2117" i="1" a="1"/>
  <c r="G2117" i="1" s="1"/>
  <c r="F2117" i="1" a="1"/>
  <c r="F2117" i="1" s="1"/>
  <c r="K2116" i="1" a="1"/>
  <c r="K2116" i="1" s="1"/>
  <c r="J2116" i="1" a="1"/>
  <c r="J2116" i="1" s="1"/>
  <c r="I2116" i="1" a="1"/>
  <c r="I2116" i="1" s="1"/>
  <c r="H2116" i="1" a="1"/>
  <c r="H2116" i="1" s="1"/>
  <c r="G2116" i="1" a="1"/>
  <c r="G2116" i="1" s="1"/>
  <c r="F2116" i="1" a="1"/>
  <c r="F2116" i="1" s="1"/>
  <c r="K2115" i="1" a="1"/>
  <c r="K2115" i="1" s="1"/>
  <c r="J2115" i="1" a="1"/>
  <c r="J2115" i="1" s="1"/>
  <c r="I2115" i="1" a="1"/>
  <c r="I2115" i="1" s="1"/>
  <c r="H2115" i="1" a="1"/>
  <c r="H2115" i="1" s="1"/>
  <c r="G2115" i="1" a="1"/>
  <c r="G2115" i="1" s="1"/>
  <c r="F2115" i="1" a="1"/>
  <c r="F2115" i="1" s="1"/>
  <c r="K2114" i="1" a="1"/>
  <c r="K2114" i="1" s="1"/>
  <c r="J2114" i="1" a="1"/>
  <c r="J2114" i="1" s="1"/>
  <c r="I2114" i="1" a="1"/>
  <c r="I2114" i="1" s="1"/>
  <c r="H2114" i="1" a="1"/>
  <c r="H2114" i="1" s="1"/>
  <c r="G2114" i="1" a="1"/>
  <c r="G2114" i="1" s="1"/>
  <c r="F2114" i="1" a="1"/>
  <c r="F2114" i="1" s="1"/>
  <c r="K2113" i="1" a="1"/>
  <c r="K2113" i="1" s="1"/>
  <c r="J2113" i="1" a="1"/>
  <c r="J2113" i="1" s="1"/>
  <c r="I2113" i="1" a="1"/>
  <c r="I2113" i="1" s="1"/>
  <c r="H2113" i="1" a="1"/>
  <c r="H2113" i="1" s="1"/>
  <c r="G2113" i="1" a="1"/>
  <c r="G2113" i="1" s="1"/>
  <c r="F2113" i="1" a="1"/>
  <c r="F2113" i="1" s="1"/>
  <c r="K2112" i="1" a="1"/>
  <c r="K2112" i="1" s="1"/>
  <c r="J2112" i="1" a="1"/>
  <c r="J2112" i="1" s="1"/>
  <c r="I2112" i="1" a="1"/>
  <c r="I2112" i="1" s="1"/>
  <c r="H2112" i="1" a="1"/>
  <c r="H2112" i="1" s="1"/>
  <c r="G2112" i="1" a="1"/>
  <c r="G2112" i="1" s="1"/>
  <c r="F2112" i="1" a="1"/>
  <c r="F2112" i="1" s="1"/>
  <c r="K2111" i="1" a="1"/>
  <c r="K2111" i="1" s="1"/>
  <c r="J2111" i="1" a="1"/>
  <c r="J2111" i="1" s="1"/>
  <c r="I2111" i="1" a="1"/>
  <c r="I2111" i="1" s="1"/>
  <c r="H2111" i="1" a="1"/>
  <c r="H2111" i="1" s="1"/>
  <c r="G2111" i="1" a="1"/>
  <c r="G2111" i="1" s="1"/>
  <c r="F2111" i="1" a="1"/>
  <c r="F2111" i="1" s="1"/>
  <c r="K2110" i="1" a="1"/>
  <c r="K2110" i="1" s="1"/>
  <c r="J2110" i="1" a="1"/>
  <c r="J2110" i="1" s="1"/>
  <c r="I2110" i="1" a="1"/>
  <c r="I2110" i="1" s="1"/>
  <c r="H2110" i="1" a="1"/>
  <c r="H2110" i="1" s="1"/>
  <c r="G2110" i="1" a="1"/>
  <c r="G2110" i="1" s="1"/>
  <c r="F2110" i="1" a="1"/>
  <c r="F2110" i="1" s="1"/>
  <c r="E2110" i="1"/>
  <c r="E2111" i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K2108" i="1"/>
  <c r="J2108" i="1"/>
  <c r="I2108" i="1"/>
  <c r="H2108" i="1"/>
  <c r="G2108" i="1"/>
  <c r="F2108" i="1"/>
  <c r="K2107" i="1"/>
  <c r="J2107" i="1"/>
  <c r="I2107" i="1"/>
  <c r="H2107" i="1"/>
  <c r="G2107" i="1"/>
  <c r="F2107" i="1"/>
  <c r="K2106" i="1"/>
  <c r="J2106" i="1"/>
  <c r="I2106" i="1"/>
  <c r="H2106" i="1"/>
  <c r="G2106" i="1"/>
  <c r="F2106" i="1"/>
  <c r="K2105" i="1"/>
  <c r="J2105" i="1"/>
  <c r="I2105" i="1"/>
  <c r="H2105" i="1"/>
  <c r="G2105" i="1"/>
  <c r="F2105" i="1"/>
  <c r="K2104" i="1"/>
  <c r="J2104" i="1"/>
  <c r="I2104" i="1"/>
  <c r="H2104" i="1"/>
  <c r="G2104" i="1"/>
  <c r="F2104" i="1"/>
  <c r="K2103" i="1"/>
  <c r="J2103" i="1"/>
  <c r="I2103" i="1"/>
  <c r="H2103" i="1"/>
  <c r="G2103" i="1"/>
  <c r="F2103" i="1"/>
  <c r="K2102" i="1"/>
  <c r="K2101" i="1" s="1"/>
  <c r="J2102" i="1"/>
  <c r="J2101" i="1" s="1"/>
  <c r="I2102" i="1"/>
  <c r="I2101" i="1" s="1"/>
  <c r="H2102" i="1"/>
  <c r="H2101" i="1" s="1"/>
  <c r="G2102" i="1"/>
  <c r="G2101" i="1" s="1"/>
  <c r="F2102" i="1"/>
  <c r="F2101" i="1" s="1"/>
  <c r="K2100" i="1"/>
  <c r="J2100" i="1"/>
  <c r="I2100" i="1"/>
  <c r="H2100" i="1"/>
  <c r="G2100" i="1"/>
  <c r="F2100" i="1"/>
  <c r="K2099" i="1"/>
  <c r="J2099" i="1"/>
  <c r="I2099" i="1"/>
  <c r="H2099" i="1"/>
  <c r="G2099" i="1"/>
  <c r="F2099" i="1"/>
  <c r="K2098" i="1"/>
  <c r="K2097" i="1" s="1"/>
  <c r="J2098" i="1"/>
  <c r="J2097" i="1" s="1"/>
  <c r="I2098" i="1"/>
  <c r="I2097" i="1" s="1"/>
  <c r="H2098" i="1"/>
  <c r="H2097" i="1" s="1"/>
  <c r="G2098" i="1"/>
  <c r="G2097" i="1" s="1"/>
  <c r="F2098" i="1"/>
  <c r="F2097" i="1" s="1"/>
  <c r="K2095" i="1"/>
  <c r="K2096" i="1" s="1"/>
  <c r="J2095" i="1"/>
  <c r="J2096" i="1" s="1"/>
  <c r="I2095" i="1"/>
  <c r="I2096" i="1" s="1"/>
  <c r="H2095" i="1"/>
  <c r="H2096" i="1" s="1"/>
  <c r="G2095" i="1"/>
  <c r="G2096" i="1" s="1"/>
  <c r="F2095" i="1"/>
  <c r="F2096" i="1" s="1"/>
  <c r="K2094" i="1"/>
  <c r="J2094" i="1"/>
  <c r="I2094" i="1"/>
  <c r="H2094" i="1"/>
  <c r="G2094" i="1"/>
  <c r="F2094" i="1"/>
  <c r="K2093" i="1"/>
  <c r="J2093" i="1"/>
  <c r="I2093" i="1"/>
  <c r="H2093" i="1"/>
  <c r="G2093" i="1"/>
  <c r="F2093" i="1"/>
  <c r="K2092" i="1"/>
  <c r="J2092" i="1"/>
  <c r="I2092" i="1"/>
  <c r="H2092" i="1"/>
  <c r="G2092" i="1"/>
  <c r="F2092" i="1"/>
  <c r="K2091" i="1"/>
  <c r="J2091" i="1"/>
  <c r="I2091" i="1"/>
  <c r="H2091" i="1"/>
  <c r="G2091" i="1"/>
  <c r="F2091" i="1"/>
  <c r="K2090" i="1"/>
  <c r="J2090" i="1"/>
  <c r="I2090" i="1"/>
  <c r="H2090" i="1"/>
  <c r="G2090" i="1"/>
  <c r="F2090" i="1"/>
  <c r="K2088" i="1"/>
  <c r="K2087" i="1" s="1"/>
  <c r="J2088" i="1"/>
  <c r="J2087" i="1" s="1"/>
  <c r="I2088" i="1"/>
  <c r="I2087" i="1" s="1"/>
  <c r="H2088" i="1"/>
  <c r="H2087" i="1" s="1"/>
  <c r="G2088" i="1"/>
  <c r="G2087" i="1" s="1"/>
  <c r="F2088" i="1"/>
  <c r="F2087" i="1" s="1"/>
  <c r="K2086" i="1"/>
  <c r="J2086" i="1"/>
  <c r="I2086" i="1"/>
  <c r="H2086" i="1"/>
  <c r="G2086" i="1"/>
  <c r="F2086" i="1"/>
  <c r="K2085" i="1"/>
  <c r="J2085" i="1"/>
  <c r="I2085" i="1"/>
  <c r="H2085" i="1"/>
  <c r="G2085" i="1"/>
  <c r="F2085" i="1"/>
  <c r="K2084" i="1"/>
  <c r="J2084" i="1"/>
  <c r="I2084" i="1"/>
  <c r="H2084" i="1"/>
  <c r="G2084" i="1"/>
  <c r="F2084" i="1"/>
  <c r="K2083" i="1"/>
  <c r="J2083" i="1"/>
  <c r="I2083" i="1"/>
  <c r="H2083" i="1"/>
  <c r="G2083" i="1"/>
  <c r="F2083" i="1"/>
  <c r="K2082" i="1"/>
  <c r="J2082" i="1"/>
  <c r="I2082" i="1"/>
  <c r="H2082" i="1"/>
  <c r="G2082" i="1"/>
  <c r="F2082" i="1"/>
  <c r="K2081" i="1"/>
  <c r="J2081" i="1"/>
  <c r="I2081" i="1"/>
  <c r="H2081" i="1"/>
  <c r="G2081" i="1"/>
  <c r="F2081" i="1"/>
  <c r="K2080" i="1"/>
  <c r="K2079" i="1" s="1"/>
  <c r="J2080" i="1"/>
  <c r="J2079" i="1" s="1"/>
  <c r="I2080" i="1"/>
  <c r="I2079" i="1" s="1"/>
  <c r="H2080" i="1"/>
  <c r="H2079" i="1" s="1"/>
  <c r="G2080" i="1"/>
  <c r="G2079" i="1" s="1"/>
  <c r="F2080" i="1"/>
  <c r="F2079" i="1" s="1"/>
  <c r="K2078" i="1"/>
  <c r="J2078" i="1"/>
  <c r="I2078" i="1"/>
  <c r="H2078" i="1"/>
  <c r="G2078" i="1"/>
  <c r="F2078" i="1"/>
  <c r="K2077" i="1"/>
  <c r="J2077" i="1"/>
  <c r="I2077" i="1"/>
  <c r="H2077" i="1"/>
  <c r="G2077" i="1"/>
  <c r="F2077" i="1"/>
  <c r="K2076" i="1"/>
  <c r="J2076" i="1"/>
  <c r="I2076" i="1"/>
  <c r="H2076" i="1"/>
  <c r="G2076" i="1"/>
  <c r="F2076" i="1"/>
  <c r="K2075" i="1"/>
  <c r="J2075" i="1"/>
  <c r="I2075" i="1"/>
  <c r="H2075" i="1"/>
  <c r="G2075" i="1"/>
  <c r="F2075" i="1"/>
  <c r="K2074" i="1"/>
  <c r="J2074" i="1"/>
  <c r="I2074" i="1"/>
  <c r="H2074" i="1"/>
  <c r="G2074" i="1"/>
  <c r="F2074" i="1"/>
  <c r="K2073" i="1"/>
  <c r="K2072" i="1" s="1"/>
  <c r="J2073" i="1"/>
  <c r="J2072" i="1" s="1"/>
  <c r="I2073" i="1"/>
  <c r="I2072" i="1" s="1"/>
  <c r="H2073" i="1"/>
  <c r="H2072" i="1" s="1"/>
  <c r="G2073" i="1"/>
  <c r="G2072" i="1" s="1"/>
  <c r="F2073" i="1"/>
  <c r="F2072" i="1" s="1"/>
  <c r="K2071" i="1"/>
  <c r="J2071" i="1"/>
  <c r="I2071" i="1"/>
  <c r="H2071" i="1"/>
  <c r="G2071" i="1"/>
  <c r="F2071" i="1"/>
  <c r="K2070" i="1"/>
  <c r="J2070" i="1"/>
  <c r="I2070" i="1"/>
  <c r="H2070" i="1"/>
  <c r="G2070" i="1"/>
  <c r="F2070" i="1"/>
  <c r="K2069" i="1"/>
  <c r="J2069" i="1"/>
  <c r="I2069" i="1"/>
  <c r="H2069" i="1"/>
  <c r="G2069" i="1"/>
  <c r="F2069" i="1"/>
  <c r="K2068" i="1"/>
  <c r="J2068" i="1"/>
  <c r="I2068" i="1"/>
  <c r="H2068" i="1"/>
  <c r="G2068" i="1"/>
  <c r="F2068" i="1"/>
  <c r="K2067" i="1"/>
  <c r="J2067" i="1"/>
  <c r="I2067" i="1"/>
  <c r="H2067" i="1"/>
  <c r="G2067" i="1"/>
  <c r="F2067" i="1"/>
  <c r="K2066" i="1"/>
  <c r="J2066" i="1"/>
  <c r="I2066" i="1"/>
  <c r="H2066" i="1"/>
  <c r="G2066" i="1"/>
  <c r="F2066" i="1"/>
  <c r="K2065" i="1"/>
  <c r="J2065" i="1"/>
  <c r="I2065" i="1"/>
  <c r="H2065" i="1"/>
  <c r="G2065" i="1"/>
  <c r="F2065" i="1"/>
  <c r="K2064" i="1"/>
  <c r="J2064" i="1"/>
  <c r="I2064" i="1"/>
  <c r="H2064" i="1"/>
  <c r="G2064" i="1"/>
  <c r="F2064" i="1"/>
  <c r="K2063" i="1"/>
  <c r="J2063" i="1"/>
  <c r="I2063" i="1"/>
  <c r="H2063" i="1"/>
  <c r="G2063" i="1"/>
  <c r="F2063" i="1"/>
  <c r="K2062" i="1"/>
  <c r="J2062" i="1"/>
  <c r="I2062" i="1"/>
  <c r="H2062" i="1"/>
  <c r="G2062" i="1"/>
  <c r="F2062" i="1"/>
  <c r="K2061" i="1"/>
  <c r="J2061" i="1"/>
  <c r="I2061" i="1"/>
  <c r="H2061" i="1"/>
  <c r="G2061" i="1"/>
  <c r="F2061" i="1"/>
  <c r="K2060" i="1"/>
  <c r="J2060" i="1"/>
  <c r="I2060" i="1"/>
  <c r="H2060" i="1"/>
  <c r="G2060" i="1"/>
  <c r="F2060" i="1"/>
  <c r="K2059" i="1"/>
  <c r="J2059" i="1"/>
  <c r="I2059" i="1"/>
  <c r="H2059" i="1"/>
  <c r="G2059" i="1"/>
  <c r="F2059" i="1"/>
  <c r="K2058" i="1"/>
  <c r="J2058" i="1"/>
  <c r="I2058" i="1"/>
  <c r="H2058" i="1"/>
  <c r="G2058" i="1"/>
  <c r="F2058" i="1"/>
  <c r="K2057" i="1"/>
  <c r="J2057" i="1"/>
  <c r="I2057" i="1"/>
  <c r="H2057" i="1"/>
  <c r="G2057" i="1"/>
  <c r="F2057" i="1"/>
  <c r="K2055" i="1"/>
  <c r="J2055" i="1"/>
  <c r="I2055" i="1"/>
  <c r="H2055" i="1"/>
  <c r="G2055" i="1"/>
  <c r="F2055" i="1"/>
  <c r="K2054" i="1"/>
  <c r="J2054" i="1"/>
  <c r="I2054" i="1"/>
  <c r="H2054" i="1"/>
  <c r="G2054" i="1"/>
  <c r="F2054" i="1"/>
  <c r="K2053" i="1"/>
  <c r="K2052" i="1" s="1"/>
  <c r="J2053" i="1"/>
  <c r="J2052" i="1" s="1"/>
  <c r="I2053" i="1"/>
  <c r="I2052" i="1" s="1"/>
  <c r="H2053" i="1"/>
  <c r="H2052" i="1" s="1"/>
  <c r="G2053" i="1"/>
  <c r="G2052" i="1" s="1"/>
  <c r="F2053" i="1"/>
  <c r="F2052" i="1" s="1"/>
  <c r="K2051" i="1"/>
  <c r="J2051" i="1"/>
  <c r="I2051" i="1"/>
  <c r="H2051" i="1"/>
  <c r="G2051" i="1"/>
  <c r="F2051" i="1"/>
  <c r="K2050" i="1"/>
  <c r="J2050" i="1"/>
  <c r="I2050" i="1"/>
  <c r="H2050" i="1"/>
  <c r="G2050" i="1"/>
  <c r="F2050" i="1"/>
  <c r="K2049" i="1"/>
  <c r="K2048" i="1" s="1"/>
  <c r="J2049" i="1"/>
  <c r="J2048" i="1" s="1"/>
  <c r="I2049" i="1"/>
  <c r="I2048" i="1" s="1"/>
  <c r="H2049" i="1"/>
  <c r="H2048" i="1" s="1"/>
  <c r="G2049" i="1"/>
  <c r="G2048" i="1" s="1"/>
  <c r="F2049" i="1"/>
  <c r="F2048" i="1" s="1"/>
  <c r="K2047" i="1"/>
  <c r="K2046" i="1" s="1"/>
  <c r="J2047" i="1"/>
  <c r="J2046" i="1" s="1"/>
  <c r="I2047" i="1"/>
  <c r="I2046" i="1" s="1"/>
  <c r="H2047" i="1"/>
  <c r="H2046" i="1" s="1"/>
  <c r="G2047" i="1"/>
  <c r="F2047" i="1"/>
  <c r="E2046" i="1"/>
  <c r="E2047" i="1"/>
  <c r="F2046" i="1"/>
  <c r="G2046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 s="1"/>
  <c r="E2101" i="1" s="1"/>
  <c r="E2102" i="1" s="1"/>
  <c r="E2103" i="1" s="1"/>
  <c r="E2104" i="1" s="1"/>
  <c r="E2105" i="1" s="1"/>
  <c r="E2106" i="1" s="1"/>
  <c r="E2107" i="1" s="1"/>
  <c r="E2108" i="1" s="1"/>
  <c r="K1817" i="1"/>
  <c r="J1817" i="1"/>
  <c r="I1817" i="1"/>
  <c r="H1817" i="1"/>
  <c r="G1817" i="1"/>
  <c r="F1817" i="1"/>
  <c r="K1816" i="1"/>
  <c r="J1816" i="1"/>
  <c r="I1816" i="1"/>
  <c r="H1816" i="1"/>
  <c r="G1816" i="1"/>
  <c r="F1816" i="1"/>
  <c r="K1815" i="1"/>
  <c r="J1815" i="1"/>
  <c r="I1815" i="1"/>
  <c r="H1815" i="1"/>
  <c r="G1815" i="1"/>
  <c r="F1815" i="1"/>
  <c r="K1814" i="1"/>
  <c r="J1814" i="1"/>
  <c r="I1814" i="1"/>
  <c r="H1814" i="1"/>
  <c r="G1814" i="1"/>
  <c r="F1814" i="1"/>
  <c r="K1813" i="1"/>
  <c r="J1813" i="1"/>
  <c r="I1813" i="1"/>
  <c r="H1813" i="1"/>
  <c r="G1813" i="1"/>
  <c r="F1813" i="1"/>
  <c r="K1812" i="1"/>
  <c r="J1812" i="1"/>
  <c r="I1812" i="1"/>
  <c r="H1812" i="1"/>
  <c r="G1812" i="1"/>
  <c r="F1812" i="1"/>
  <c r="K1811" i="1"/>
  <c r="J1811" i="1"/>
  <c r="I1811" i="1"/>
  <c r="H1811" i="1"/>
  <c r="G1811" i="1"/>
  <c r="F1811" i="1"/>
  <c r="K1809" i="1"/>
  <c r="J1809" i="1"/>
  <c r="I1809" i="1"/>
  <c r="H1809" i="1"/>
  <c r="G1809" i="1"/>
  <c r="F1809" i="1"/>
  <c r="K1808" i="1"/>
  <c r="J1808" i="1"/>
  <c r="I1808" i="1"/>
  <c r="H1808" i="1"/>
  <c r="G1808" i="1"/>
  <c r="F1808" i="1"/>
  <c r="K1807" i="1"/>
  <c r="J1807" i="1"/>
  <c r="I1807" i="1"/>
  <c r="H1807" i="1"/>
  <c r="G1807" i="1"/>
  <c r="F1807" i="1"/>
  <c r="K1804" i="1"/>
  <c r="J1804" i="1"/>
  <c r="I1804" i="1"/>
  <c r="H1804" i="1"/>
  <c r="G1804" i="1"/>
  <c r="F1804" i="1"/>
  <c r="K1803" i="1"/>
  <c r="J1803" i="1"/>
  <c r="I1803" i="1"/>
  <c r="H1803" i="1"/>
  <c r="G1803" i="1"/>
  <c r="F1803" i="1"/>
  <c r="K1802" i="1"/>
  <c r="J1802" i="1"/>
  <c r="I1802" i="1"/>
  <c r="H1802" i="1"/>
  <c r="G1802" i="1"/>
  <c r="F1802" i="1"/>
  <c r="K1801" i="1"/>
  <c r="J1801" i="1"/>
  <c r="I1801" i="1"/>
  <c r="H1801" i="1"/>
  <c r="G1801" i="1"/>
  <c r="F1801" i="1"/>
  <c r="K1800" i="1"/>
  <c r="J1800" i="1"/>
  <c r="I1800" i="1"/>
  <c r="H1800" i="1"/>
  <c r="G1800" i="1"/>
  <c r="F1800" i="1"/>
  <c r="K1799" i="1"/>
  <c r="J1799" i="1"/>
  <c r="I1799" i="1"/>
  <c r="H1799" i="1"/>
  <c r="G1799" i="1"/>
  <c r="F1799" i="1"/>
  <c r="K1797" i="1"/>
  <c r="J1797" i="1"/>
  <c r="I1797" i="1"/>
  <c r="H1797" i="1"/>
  <c r="G1797" i="1"/>
  <c r="F1797" i="1"/>
  <c r="K1795" i="1"/>
  <c r="J1795" i="1"/>
  <c r="I1795" i="1"/>
  <c r="H1795" i="1"/>
  <c r="G1795" i="1"/>
  <c r="F1795" i="1"/>
  <c r="K1794" i="1"/>
  <c r="J1794" i="1"/>
  <c r="I1794" i="1"/>
  <c r="H1794" i="1"/>
  <c r="G1794" i="1"/>
  <c r="F1794" i="1"/>
  <c r="K1793" i="1"/>
  <c r="J1793" i="1"/>
  <c r="I1793" i="1"/>
  <c r="H1793" i="1"/>
  <c r="G1793" i="1"/>
  <c r="F1793" i="1"/>
  <c r="K1792" i="1"/>
  <c r="J1792" i="1"/>
  <c r="I1792" i="1"/>
  <c r="H1792" i="1"/>
  <c r="G1792" i="1"/>
  <c r="F1792" i="1"/>
  <c r="K1791" i="1"/>
  <c r="J1791" i="1"/>
  <c r="I1791" i="1"/>
  <c r="H1791" i="1"/>
  <c r="G1791" i="1"/>
  <c r="F1791" i="1"/>
  <c r="K1790" i="1"/>
  <c r="J1790" i="1"/>
  <c r="I1790" i="1"/>
  <c r="H1790" i="1"/>
  <c r="G1790" i="1"/>
  <c r="F1790" i="1"/>
  <c r="K1789" i="1"/>
  <c r="J1789" i="1"/>
  <c r="I1789" i="1"/>
  <c r="H1789" i="1"/>
  <c r="G1789" i="1"/>
  <c r="F1789" i="1"/>
  <c r="K1787" i="1"/>
  <c r="J1787" i="1"/>
  <c r="I1787" i="1"/>
  <c r="H1787" i="1"/>
  <c r="G1787" i="1"/>
  <c r="F1787" i="1"/>
  <c r="K1786" i="1"/>
  <c r="J1786" i="1"/>
  <c r="I1786" i="1"/>
  <c r="H1786" i="1"/>
  <c r="G1786" i="1"/>
  <c r="F1786" i="1"/>
  <c r="K1785" i="1"/>
  <c r="J1785" i="1"/>
  <c r="I1785" i="1"/>
  <c r="H1785" i="1"/>
  <c r="G1785" i="1"/>
  <c r="F1785" i="1"/>
  <c r="K1784" i="1"/>
  <c r="J1784" i="1"/>
  <c r="I1784" i="1"/>
  <c r="H1784" i="1"/>
  <c r="G1784" i="1"/>
  <c r="F1784" i="1"/>
  <c r="K1783" i="1"/>
  <c r="J1783" i="1"/>
  <c r="I1783" i="1"/>
  <c r="H1783" i="1"/>
  <c r="G1783" i="1"/>
  <c r="F1783" i="1"/>
  <c r="K1782" i="1"/>
  <c r="J1782" i="1"/>
  <c r="I1782" i="1"/>
  <c r="H1782" i="1"/>
  <c r="G1782" i="1"/>
  <c r="F1782" i="1"/>
  <c r="K1780" i="1"/>
  <c r="J1780" i="1"/>
  <c r="I1780" i="1"/>
  <c r="H1780" i="1"/>
  <c r="G1780" i="1"/>
  <c r="F1780" i="1"/>
  <c r="K1779" i="1"/>
  <c r="J1779" i="1"/>
  <c r="I1779" i="1"/>
  <c r="H1779" i="1"/>
  <c r="G1779" i="1"/>
  <c r="F1779" i="1"/>
  <c r="K1778" i="1"/>
  <c r="J1778" i="1"/>
  <c r="I1778" i="1"/>
  <c r="H1778" i="1"/>
  <c r="G1778" i="1"/>
  <c r="F1778" i="1"/>
  <c r="K1777" i="1"/>
  <c r="J1777" i="1"/>
  <c r="I1777" i="1"/>
  <c r="H1777" i="1"/>
  <c r="G1777" i="1"/>
  <c r="F1777" i="1"/>
  <c r="K1776" i="1"/>
  <c r="J1776" i="1"/>
  <c r="I1776" i="1"/>
  <c r="H1776" i="1"/>
  <c r="G1776" i="1"/>
  <c r="F1776" i="1"/>
  <c r="K1775" i="1"/>
  <c r="J1775" i="1"/>
  <c r="I1775" i="1"/>
  <c r="H1775" i="1"/>
  <c r="G1775" i="1"/>
  <c r="F1775" i="1"/>
  <c r="K1774" i="1"/>
  <c r="J1774" i="1"/>
  <c r="I1774" i="1"/>
  <c r="H1774" i="1"/>
  <c r="G1774" i="1"/>
  <c r="F1774" i="1"/>
  <c r="K1773" i="1"/>
  <c r="J1773" i="1"/>
  <c r="I1773" i="1"/>
  <c r="H1773" i="1"/>
  <c r="G1773" i="1"/>
  <c r="F1773" i="1"/>
  <c r="K1772" i="1"/>
  <c r="J1772" i="1"/>
  <c r="I1772" i="1"/>
  <c r="H1772" i="1"/>
  <c r="G1772" i="1"/>
  <c r="F1772" i="1"/>
  <c r="K1771" i="1"/>
  <c r="J1771" i="1"/>
  <c r="I1771" i="1"/>
  <c r="H1771" i="1"/>
  <c r="G1771" i="1"/>
  <c r="F1771" i="1"/>
  <c r="K1770" i="1"/>
  <c r="J1770" i="1"/>
  <c r="I1770" i="1"/>
  <c r="H1770" i="1"/>
  <c r="G1770" i="1"/>
  <c r="F1770" i="1"/>
  <c r="K1769" i="1"/>
  <c r="J1769" i="1"/>
  <c r="I1769" i="1"/>
  <c r="H1769" i="1"/>
  <c r="G1769" i="1"/>
  <c r="F1769" i="1"/>
  <c r="K1768" i="1"/>
  <c r="J1768" i="1"/>
  <c r="I1768" i="1"/>
  <c r="H1768" i="1"/>
  <c r="G1768" i="1"/>
  <c r="F1768" i="1"/>
  <c r="K1767" i="1"/>
  <c r="J1767" i="1"/>
  <c r="I1767" i="1"/>
  <c r="H1767" i="1"/>
  <c r="G1767" i="1"/>
  <c r="F1767" i="1"/>
  <c r="K1766" i="1"/>
  <c r="J1766" i="1"/>
  <c r="I1766" i="1"/>
  <c r="H1766" i="1"/>
  <c r="G1766" i="1"/>
  <c r="F1766" i="1"/>
  <c r="K1764" i="1"/>
  <c r="J1764" i="1"/>
  <c r="I1764" i="1"/>
  <c r="H1764" i="1"/>
  <c r="G1764" i="1"/>
  <c r="F1764" i="1"/>
  <c r="K1763" i="1"/>
  <c r="J1763" i="1"/>
  <c r="I1763" i="1"/>
  <c r="H1763" i="1"/>
  <c r="G1763" i="1"/>
  <c r="F1763" i="1"/>
  <c r="K1762" i="1"/>
  <c r="J1762" i="1"/>
  <c r="I1762" i="1"/>
  <c r="H1762" i="1"/>
  <c r="G1762" i="1"/>
  <c r="F1762" i="1"/>
  <c r="K1760" i="1"/>
  <c r="J1760" i="1"/>
  <c r="I1760" i="1"/>
  <c r="H1760" i="1"/>
  <c r="G1760" i="1"/>
  <c r="F1760" i="1"/>
  <c r="K1759" i="1"/>
  <c r="J1759" i="1"/>
  <c r="I1759" i="1"/>
  <c r="H1759" i="1"/>
  <c r="G1759" i="1"/>
  <c r="F1759" i="1"/>
  <c r="K1758" i="1"/>
  <c r="J1758" i="1"/>
  <c r="I1758" i="1"/>
  <c r="H1758" i="1"/>
  <c r="G1758" i="1"/>
  <c r="F1758" i="1"/>
  <c r="K1756" i="1"/>
  <c r="J1756" i="1"/>
  <c r="I1756" i="1"/>
  <c r="H1756" i="1"/>
  <c r="G1756" i="1"/>
  <c r="F1756" i="1"/>
  <c r="I1688" i="1" a="1"/>
  <c r="I1688" i="1" s="1"/>
  <c r="H1688" i="1" a="1"/>
  <c r="H1688" i="1" s="1"/>
  <c r="G1688" i="1" a="1"/>
  <c r="G1688" i="1" s="1"/>
  <c r="K1688" i="1" a="1"/>
  <c r="K1688" i="1" s="1"/>
  <c r="J1688" i="1" a="1"/>
  <c r="J1688" i="1" s="1"/>
  <c r="F1688" i="1" a="1"/>
  <c r="F1688" i="1" s="1"/>
  <c r="K1700" i="1"/>
  <c r="J1700" i="1"/>
  <c r="K1699" i="1"/>
  <c r="J1699" i="1"/>
  <c r="K1698" i="1"/>
  <c r="J1698" i="1"/>
  <c r="K1696" i="1"/>
  <c r="J1696" i="1"/>
  <c r="I1696" i="1"/>
  <c r="H1696" i="1"/>
  <c r="G1696" i="1"/>
  <c r="F1696" i="1"/>
  <c r="K1695" i="1"/>
  <c r="J1695" i="1"/>
  <c r="I1695" i="1"/>
  <c r="H1695" i="1"/>
  <c r="G1695" i="1"/>
  <c r="F1695" i="1"/>
  <c r="K1694" i="1"/>
  <c r="J1694" i="1"/>
  <c r="I1694" i="1"/>
  <c r="H1694" i="1"/>
  <c r="G1694" i="1"/>
  <c r="F1694" i="1"/>
  <c r="K1693" i="1"/>
  <c r="J1693" i="1"/>
  <c r="I1693" i="1"/>
  <c r="H1693" i="1"/>
  <c r="G1693" i="1"/>
  <c r="F1693" i="1"/>
  <c r="K1692" i="1"/>
  <c r="J1692" i="1"/>
  <c r="I1692" i="1"/>
  <c r="H1692" i="1"/>
  <c r="G1692" i="1"/>
  <c r="F1692" i="1"/>
  <c r="K1691" i="1"/>
  <c r="J1691" i="1"/>
  <c r="I1691" i="1"/>
  <c r="H1691" i="1"/>
  <c r="G1691" i="1"/>
  <c r="F1691" i="1"/>
  <c r="K1690" i="1"/>
  <c r="J1690" i="1"/>
  <c r="I1690" i="1"/>
  <c r="H1690" i="1"/>
  <c r="G1690" i="1"/>
  <c r="F1690" i="1"/>
  <c r="K1689" i="1"/>
  <c r="J1689" i="1"/>
  <c r="I1689" i="1"/>
  <c r="H1689" i="1"/>
  <c r="G1689" i="1"/>
  <c r="F1689" i="1"/>
  <c r="K1686" i="1"/>
  <c r="J1686" i="1"/>
  <c r="I1686" i="1"/>
  <c r="H1686" i="1"/>
  <c r="G1686" i="1"/>
  <c r="F1686" i="1"/>
  <c r="K1685" i="1"/>
  <c r="J1685" i="1"/>
  <c r="I1685" i="1"/>
  <c r="H1685" i="1"/>
  <c r="G1685" i="1"/>
  <c r="F1685" i="1"/>
  <c r="K1684" i="1"/>
  <c r="J1684" i="1"/>
  <c r="I1684" i="1"/>
  <c r="H1684" i="1"/>
  <c r="G1684" i="1"/>
  <c r="F1684" i="1"/>
  <c r="K1149" i="1"/>
  <c r="J1149" i="1"/>
  <c r="I1149" i="1"/>
  <c r="H1149" i="1"/>
  <c r="G1149" i="1"/>
  <c r="F1149" i="1"/>
  <c r="J2011" i="1" a="1"/>
  <c r="J2011" i="1" s="1"/>
  <c r="I2015" i="1" a="1"/>
  <c r="I2015" i="1" s="1"/>
  <c r="K2015" i="1" a="1"/>
  <c r="K2015" i="1" s="1"/>
  <c r="H2008" i="1" a="1"/>
  <c r="H2008" i="1" s="1"/>
  <c r="J2013" i="1" a="1"/>
  <c r="J2013" i="1" s="1"/>
  <c r="J2014" i="1" s="1" a="1"/>
  <c r="J2014" i="1" s="1"/>
  <c r="F2016" i="1" a="1"/>
  <c r="F2016" i="1" s="1"/>
  <c r="H2011" i="1" a="1"/>
  <c r="H2011" i="1" s="1"/>
  <c r="H2012" i="1" s="1" a="1"/>
  <c r="H2012" i="1" s="1"/>
  <c r="G2010" i="1" a="1"/>
  <c r="G2010" i="1" s="1"/>
  <c r="F2010" i="1" a="1"/>
  <c r="F2010" i="1" s="1"/>
  <c r="I2011" i="1" a="1"/>
  <c r="I2011" i="1" s="1"/>
  <c r="F2011" i="1" a="1"/>
  <c r="F2011" i="1" s="1"/>
  <c r="H2010" i="1" a="1"/>
  <c r="H2010" i="1" s="1"/>
  <c r="F2013" i="1" a="1"/>
  <c r="F2013" i="1" s="1"/>
  <c r="F2014" i="1" s="1" a="1"/>
  <c r="F2014" i="1" s="1"/>
  <c r="J2012" i="1" a="1"/>
  <c r="J2012" i="1" s="1"/>
  <c r="J2008" i="1" a="1"/>
  <c r="J2008" i="1" s="1"/>
  <c r="J2009" i="1" s="1" a="1"/>
  <c r="J2009" i="1" s="1"/>
  <c r="K2016" i="1" a="1"/>
  <c r="K2016" i="1" s="1"/>
  <c r="J2016" i="1" a="1"/>
  <c r="J2016" i="1" s="1"/>
  <c r="G2011" i="1" a="1"/>
  <c r="G2011" i="1" s="1"/>
  <c r="G2012" i="1" s="1" a="1"/>
  <c r="G2012" i="1" s="1"/>
  <c r="K2010" i="1" a="1"/>
  <c r="K2010" i="1" s="1"/>
  <c r="H2009" i="1" a="1"/>
  <c r="H2009" i="1" s="1"/>
  <c r="I2012" i="1" a="1"/>
  <c r="I2012" i="1" s="1"/>
  <c r="K2008" i="1" a="1"/>
  <c r="K2008" i="1" s="1"/>
  <c r="K2009" i="1" s="1" a="1"/>
  <c r="K2009" i="1" s="1"/>
  <c r="I2016" i="1" a="1"/>
  <c r="I2016" i="1" s="1"/>
  <c r="H2016" i="1" a="1"/>
  <c r="H2016" i="1" s="1"/>
  <c r="G2016" i="1" a="1"/>
  <c r="G2016" i="1" s="1"/>
  <c r="G2015" i="1" a="1"/>
  <c r="G2015" i="1" s="1"/>
  <c r="F2015" i="1" a="1"/>
  <c r="F2015" i="1" s="1"/>
  <c r="G2008" i="1" a="1"/>
  <c r="G2008" i="1" s="1"/>
  <c r="G2009" i="1" s="1" a="1"/>
  <c r="G2009" i="1" s="1"/>
  <c r="F2008" i="1" a="1"/>
  <c r="F2008" i="1" s="1"/>
  <c r="I2010" i="1" a="1"/>
  <c r="I2010" i="1" s="1"/>
  <c r="K2011" i="1" a="1"/>
  <c r="K2011" i="1" s="1"/>
  <c r="K2012" i="1" s="1" a="1"/>
  <c r="K2012" i="1" s="1"/>
  <c r="I2008" i="1" a="1"/>
  <c r="I2008" i="1" s="1"/>
  <c r="I2009" i="1" s="1" a="1"/>
  <c r="I2009" i="1" s="1"/>
  <c r="F2012" i="1" a="1"/>
  <c r="F2012" i="1" s="1"/>
  <c r="F2009" i="1" a="1"/>
  <c r="F2009" i="1" s="1"/>
  <c r="J2015" i="1" a="1"/>
  <c r="J2015" i="1" s="1"/>
  <c r="H2015" i="1" a="1"/>
  <c r="H2015" i="1" s="1"/>
  <c r="K2013" i="1" a="1"/>
  <c r="K2013" i="1" s="1"/>
  <c r="K2014" i="1" s="1" a="1"/>
  <c r="K2014" i="1" s="1"/>
  <c r="G2013" i="1" a="1"/>
  <c r="G2013" i="1" s="1"/>
  <c r="G2014" i="1" s="1" a="1"/>
  <c r="G2014" i="1" s="1"/>
  <c r="I2013" i="1" a="1"/>
  <c r="I2013" i="1" s="1"/>
  <c r="I2014" i="1" s="1" a="1"/>
  <c r="I2014" i="1" s="1"/>
  <c r="H2013" i="1" a="1"/>
  <c r="H2013" i="1" s="1"/>
  <c r="H2014" i="1" s="1" a="1"/>
  <c r="H2014" i="1" s="1"/>
  <c r="J2010" i="1" a="1"/>
  <c r="J2010" i="1" s="1"/>
  <c r="K2006" i="1" a="1"/>
  <c r="K2006" i="1" s="1"/>
  <c r="J2006" i="1" a="1"/>
  <c r="J2006" i="1" s="1"/>
  <c r="J2005" i="1" a="1"/>
  <c r="J2005" i="1" s="1"/>
  <c r="I1998" i="1" a="1"/>
  <c r="I1998" i="1" s="1"/>
  <c r="G2003" i="1" a="1"/>
  <c r="G2003" i="1" s="1"/>
  <c r="I2006" i="1" a="1"/>
  <c r="I2006" i="1" s="1"/>
  <c r="G2006" i="1" a="1"/>
  <c r="G2006" i="1" s="1"/>
  <c r="K2005" i="1" a="1"/>
  <c r="K2005" i="1" s="1"/>
  <c r="F2003" i="1" a="1"/>
  <c r="F2003" i="1" s="1"/>
  <c r="K2000" i="1" a="1"/>
  <c r="K2000" i="1" s="1"/>
  <c r="H1998" i="1" a="1"/>
  <c r="H1998" i="1" s="1"/>
  <c r="H1999" i="1" s="1" a="1"/>
  <c r="H1999" i="1" s="1"/>
  <c r="I1999" i="1" a="1"/>
  <c r="I1999" i="1" s="1"/>
  <c r="I2000" i="1" a="1"/>
  <c r="I2000" i="1" s="1"/>
  <c r="G1998" i="1" a="1"/>
  <c r="G1998" i="1" s="1"/>
  <c r="F2001" i="1" a="1"/>
  <c r="F2001" i="1" s="1"/>
  <c r="F2002" i="1" s="1" a="1"/>
  <c r="F2002" i="1" s="1"/>
  <c r="G2001" i="1" a="1"/>
  <c r="G2001" i="1" s="1"/>
  <c r="G2002" i="1" s="1" a="1"/>
  <c r="G2002" i="1" s="1"/>
  <c r="F2000" i="1" a="1"/>
  <c r="F2000" i="1" s="1"/>
  <c r="J1998" i="1" a="1"/>
  <c r="J1998" i="1" s="1"/>
  <c r="G2000" i="1" a="1"/>
  <c r="G2000" i="1" s="1"/>
  <c r="J1996" i="1" a="1"/>
  <c r="J1996" i="1" s="1"/>
  <c r="H2006" i="1" a="1"/>
  <c r="H2006" i="1" s="1"/>
  <c r="F2006" i="1" a="1"/>
  <c r="F2006" i="1" s="1"/>
  <c r="K2003" i="1" a="1"/>
  <c r="K2003" i="1" s="1"/>
  <c r="K2004" i="1" s="1" a="1"/>
  <c r="K2004" i="1" s="1"/>
  <c r="J2001" i="1" a="1"/>
  <c r="J2001" i="1" s="1"/>
  <c r="J2002" i="1" s="1" a="1"/>
  <c r="J2002" i="1" s="1"/>
  <c r="I2001" i="1" a="1"/>
  <c r="I2001" i="1" s="1"/>
  <c r="I2002" i="1" s="1" a="1"/>
  <c r="I2002" i="1" s="1"/>
  <c r="J2000" i="1" a="1"/>
  <c r="J2000" i="1" s="1"/>
  <c r="G1999" i="1" a="1"/>
  <c r="G1999" i="1" s="1"/>
  <c r="I2005" i="1" a="1"/>
  <c r="I2005" i="1" s="1"/>
  <c r="H2005" i="1" a="1"/>
  <c r="H2005" i="1" s="1"/>
  <c r="K1996" i="1" a="1"/>
  <c r="K1996" i="1" s="1"/>
  <c r="F2004" i="1" a="1"/>
  <c r="F2004" i="1" s="1"/>
  <c r="I2003" i="1" a="1"/>
  <c r="I2003" i="1" s="1"/>
  <c r="I2004" i="1" s="1" a="1"/>
  <c r="I2004" i="1" s="1"/>
  <c r="H2003" i="1" a="1"/>
  <c r="H2003" i="1" s="1"/>
  <c r="H2004" i="1" s="1" a="1"/>
  <c r="H2004" i="1" s="1"/>
  <c r="J2003" i="1" a="1"/>
  <c r="J2003" i="1" s="1"/>
  <c r="J2004" i="1" s="1" a="1"/>
  <c r="J2004" i="1" s="1"/>
  <c r="H2001" i="1" a="1"/>
  <c r="H2001" i="1" s="1"/>
  <c r="H2002" i="1" s="1" a="1"/>
  <c r="H2002" i="1" s="1"/>
  <c r="K2001" i="1" a="1"/>
  <c r="K2001" i="1" s="1"/>
  <c r="K2002" i="1" s="1" a="1"/>
  <c r="K2002" i="1" s="1"/>
  <c r="H2000" i="1" a="1"/>
  <c r="H2000" i="1" s="1"/>
  <c r="K1998" i="1" a="1"/>
  <c r="K1998" i="1" s="1"/>
  <c r="K1999" i="1" s="1" a="1"/>
  <c r="K1999" i="1" s="1"/>
  <c r="J1999" i="1" a="1"/>
  <c r="J1999" i="1" s="1"/>
  <c r="F1998" i="1" a="1"/>
  <c r="F1998" i="1" s="1"/>
  <c r="F1999" i="1" s="1" a="1"/>
  <c r="F1999" i="1" s="1"/>
  <c r="G2005" i="1" a="1"/>
  <c r="G2005" i="1" s="1"/>
  <c r="G2004" i="1" a="1"/>
  <c r="G2004" i="1" s="1"/>
  <c r="F2005" i="1" a="1"/>
  <c r="F2005" i="1" s="1"/>
  <c r="J1989" i="1" a="1"/>
  <c r="J1989" i="1" s="1"/>
  <c r="I1995" i="1" a="1"/>
  <c r="I1995" i="1" s="1"/>
  <c r="F1994" i="1" a="1"/>
  <c r="F1994" i="1" s="1"/>
  <c r="K1989" i="1" a="1"/>
  <c r="K1989" i="1" s="1"/>
  <c r="H1995" i="1" a="1"/>
  <c r="H1995" i="1" s="1"/>
  <c r="G1993" i="1" a="1"/>
  <c r="G1993" i="1" s="1"/>
  <c r="F1993" i="1" a="1"/>
  <c r="F1993" i="1" s="1"/>
  <c r="G1995" i="1" a="1"/>
  <c r="G1995" i="1" s="1"/>
  <c r="I1989" i="1" a="1"/>
  <c r="I1989" i="1" s="1"/>
  <c r="F1986" i="1" a="1"/>
  <c r="F1986" i="1" s="1"/>
  <c r="F1995" i="1" a="1"/>
  <c r="F1995" i="1" s="1"/>
  <c r="I1992" i="1" a="1"/>
  <c r="I1992" i="1" s="1"/>
  <c r="F1991" i="1" a="1"/>
  <c r="F1991" i="1" s="1"/>
  <c r="K1994" i="1" a="1"/>
  <c r="K1994" i="1" s="1"/>
  <c r="J1994" i="1" a="1"/>
  <c r="J1994" i="1" s="1"/>
  <c r="I1994" i="1" a="1"/>
  <c r="I1994" i="1" s="1"/>
  <c r="H1994" i="1" a="1"/>
  <c r="H1994" i="1" s="1"/>
  <c r="H1988" i="1" a="1"/>
  <c r="H1988" i="1" s="1"/>
  <c r="I1991" i="1" a="1"/>
  <c r="I1991" i="1" s="1"/>
  <c r="F1990" i="1" a="1"/>
  <c r="F1990" i="1" s="1"/>
  <c r="G1986" i="1" a="1"/>
  <c r="G1986" i="1" s="1"/>
  <c r="G1994" i="1" a="1"/>
  <c r="G1994" i="1" s="1"/>
  <c r="K1993" i="1" a="1"/>
  <c r="K1993" i="1" s="1"/>
  <c r="H1992" i="1" a="1"/>
  <c r="H1992" i="1" s="1"/>
  <c r="I1988" i="1" a="1"/>
  <c r="I1988" i="1" s="1"/>
  <c r="I1993" i="1" a="1"/>
  <c r="I1993" i="1" s="1"/>
  <c r="H1993" i="1" a="1"/>
  <c r="H1993" i="1" s="1"/>
  <c r="K1992" i="1" a="1"/>
  <c r="K1992" i="1" s="1"/>
  <c r="H1990" i="1" a="1"/>
  <c r="H1990" i="1" s="1"/>
  <c r="H1991" i="1" a="1"/>
  <c r="H1991" i="1" s="1"/>
  <c r="J1992" i="1" a="1"/>
  <c r="J1992" i="1" s="1"/>
  <c r="K1991" i="1" a="1"/>
  <c r="K1991" i="1" s="1"/>
  <c r="H1986" i="1" a="1"/>
  <c r="H1986" i="1" s="1"/>
  <c r="G1991" i="1" a="1"/>
  <c r="G1991" i="1" s="1"/>
  <c r="I1986" i="1" a="1"/>
  <c r="I1986" i="1" s="1"/>
  <c r="I1990" i="1" a="1"/>
  <c r="I1990" i="1" s="1"/>
  <c r="H1987" i="1" a="1"/>
  <c r="H1987" i="1" s="1"/>
  <c r="F1989" i="1" a="1"/>
  <c r="F1989" i="1" s="1"/>
  <c r="K1990" i="1" a="1"/>
  <c r="K1990" i="1" s="1"/>
  <c r="K1988" i="1" a="1"/>
  <c r="K1988" i="1" s="1"/>
  <c r="H1989" i="1" a="1"/>
  <c r="H1989" i="1" s="1"/>
  <c r="G1992" i="1" a="1"/>
  <c r="G1992" i="1" s="1"/>
  <c r="I1987" i="1" a="1"/>
  <c r="I1987" i="1" s="1"/>
  <c r="J1991" i="1" a="1"/>
  <c r="J1991" i="1" s="1"/>
  <c r="G1990" i="1" a="1"/>
  <c r="G1990" i="1" s="1"/>
  <c r="G1988" i="1" a="1"/>
  <c r="G1988" i="1" s="1"/>
  <c r="J1990" i="1" a="1"/>
  <c r="J1990" i="1" s="1"/>
  <c r="J1988" i="1" a="1"/>
  <c r="J1988" i="1" s="1"/>
  <c r="F1987" i="1" a="1"/>
  <c r="F1987" i="1" s="1"/>
  <c r="J1987" i="1" a="1"/>
  <c r="J1987" i="1" s="1"/>
  <c r="K1986" i="1" a="1"/>
  <c r="K1986" i="1" s="1"/>
  <c r="G1989" i="1" a="1"/>
  <c r="G1989" i="1" s="1"/>
  <c r="F1988" i="1" a="1"/>
  <c r="F1988" i="1" s="1"/>
  <c r="J1986" i="1" a="1"/>
  <c r="J1986" i="1" s="1"/>
  <c r="G1987" i="1" a="1"/>
  <c r="G1987" i="1" s="1"/>
  <c r="F1992" i="1" a="1"/>
  <c r="F1992" i="1" s="1"/>
  <c r="I1996" i="1" a="1"/>
  <c r="I1996" i="1" s="1"/>
  <c r="K1987" i="1" a="1"/>
  <c r="K1987" i="1" s="1"/>
  <c r="H1996" i="1" a="1"/>
  <c r="H1996" i="1" s="1"/>
  <c r="G1996" i="1" a="1"/>
  <c r="G1996" i="1" s="1"/>
  <c r="F1996" i="1" a="1"/>
  <c r="F1996" i="1" s="1"/>
  <c r="J1993" i="1" a="1"/>
  <c r="J1993" i="1" s="1"/>
  <c r="K1995" i="1" a="1"/>
  <c r="K1995" i="1" s="1"/>
  <c r="J1995" i="1" a="1"/>
  <c r="J1995" i="1" s="1"/>
  <c r="G1976" i="1" a="1"/>
  <c r="G1976" i="1" s="1"/>
  <c r="F1981" i="1" a="1"/>
  <c r="F1981" i="1" s="1"/>
  <c r="J1975" i="1" a="1"/>
  <c r="J1975" i="1" s="1"/>
  <c r="J1981" i="1" a="1"/>
  <c r="J1981" i="1" s="1"/>
  <c r="J1976" i="1" a="1"/>
  <c r="J1976" i="1" s="1"/>
  <c r="I1975" i="1" a="1"/>
  <c r="I1975" i="1" s="1"/>
  <c r="G1977" i="1" a="1"/>
  <c r="G1977" i="1" s="1"/>
  <c r="J1984" i="1" a="1"/>
  <c r="J1984" i="1" s="1"/>
  <c r="G1980" i="1" a="1"/>
  <c r="G1980" i="1" s="1"/>
  <c r="G1979" i="1" a="1"/>
  <c r="G1979" i="1" s="1"/>
  <c r="F1980" i="1" a="1"/>
  <c r="F1980" i="1" s="1"/>
  <c r="K1980" i="1" a="1"/>
  <c r="K1980" i="1" s="1"/>
  <c r="I1979" i="1" a="1"/>
  <c r="I1979" i="1" s="1"/>
  <c r="H1984" i="1" a="1"/>
  <c r="H1984" i="1" s="1"/>
  <c r="K1983" i="1" a="1"/>
  <c r="K1983" i="1" s="1"/>
  <c r="J1982" i="1" a="1"/>
  <c r="J1982" i="1" s="1"/>
  <c r="H1980" i="1" a="1"/>
  <c r="H1980" i="1" s="1"/>
  <c r="I1980" i="1" a="1"/>
  <c r="I1980" i="1" s="1"/>
  <c r="H1975" i="1" a="1"/>
  <c r="H1975" i="1" s="1"/>
  <c r="J1980" i="1" a="1"/>
  <c r="J1980" i="1" s="1"/>
  <c r="H1978" i="1" a="1"/>
  <c r="H1978" i="1" s="1"/>
  <c r="K1975" i="1" a="1"/>
  <c r="K1975" i="1" s="1"/>
  <c r="F1977" i="1" a="1"/>
  <c r="F1977" i="1" s="1"/>
  <c r="K1976" i="1" a="1"/>
  <c r="K1976" i="1" s="1"/>
  <c r="K1982" i="1" a="1"/>
  <c r="K1982" i="1" s="1"/>
  <c r="H1981" i="1" a="1"/>
  <c r="H1981" i="1" s="1"/>
  <c r="J1977" i="1" a="1"/>
  <c r="J1977" i="1" s="1"/>
  <c r="K1981" i="1" a="1"/>
  <c r="K1981" i="1" s="1"/>
  <c r="K1979" i="1" a="1"/>
  <c r="K1979" i="1" s="1"/>
  <c r="F1976" i="1" a="1"/>
  <c r="F1976" i="1" s="1"/>
  <c r="G1984" i="1" a="1"/>
  <c r="G1984" i="1" s="1"/>
  <c r="I1978" i="1" a="1"/>
  <c r="I1978" i="1" s="1"/>
  <c r="K1985" i="1" a="1"/>
  <c r="K1985" i="1" s="1"/>
  <c r="J1985" i="1" a="1"/>
  <c r="J1985" i="1" s="1"/>
  <c r="I1984" i="1" a="1"/>
  <c r="I1984" i="1" s="1"/>
  <c r="I1981" i="1" a="1"/>
  <c r="I1981" i="1" s="1"/>
  <c r="J1979" i="1" a="1"/>
  <c r="J1979" i="1" s="1"/>
  <c r="G1983" i="1" a="1"/>
  <c r="G1983" i="1" s="1"/>
  <c r="F1979" i="1" a="1"/>
  <c r="F1979" i="1" s="1"/>
  <c r="K1977" i="1" a="1"/>
  <c r="K1977" i="1" s="1"/>
  <c r="H1976" i="1" a="1"/>
  <c r="H1976" i="1" s="1"/>
  <c r="I1985" i="1" a="1"/>
  <c r="I1985" i="1" s="1"/>
  <c r="H1985" i="1" a="1"/>
  <c r="H1985" i="1" s="1"/>
  <c r="G1985" i="1" a="1"/>
  <c r="G1985" i="1" s="1"/>
  <c r="H1979" i="1" a="1"/>
  <c r="H1979" i="1" s="1"/>
  <c r="I1982" i="1" a="1"/>
  <c r="I1982" i="1" s="1"/>
  <c r="H1983" i="1" a="1"/>
  <c r="H1983" i="1" s="1"/>
  <c r="F1985" i="1" a="1"/>
  <c r="F1985" i="1" s="1"/>
  <c r="I1977" i="1" a="1"/>
  <c r="I1977" i="1" s="1"/>
  <c r="J1983" i="1" a="1"/>
  <c r="J1983" i="1" s="1"/>
  <c r="K1984" i="1" a="1"/>
  <c r="K1984" i="1" s="1"/>
  <c r="F1978" i="1" a="1"/>
  <c r="F1978" i="1" s="1"/>
  <c r="H1982" i="1" a="1"/>
  <c r="H1982" i="1" s="1"/>
  <c r="F1982" i="1" a="1"/>
  <c r="F1982" i="1" s="1"/>
  <c r="I1983" i="1" a="1"/>
  <c r="I1983" i="1" s="1"/>
  <c r="G1978" i="1" a="1"/>
  <c r="G1978" i="1" s="1"/>
  <c r="K1978" i="1" a="1"/>
  <c r="K1978" i="1" s="1"/>
  <c r="J1978" i="1" a="1"/>
  <c r="J1978" i="1" s="1"/>
  <c r="I1976" i="1" a="1"/>
  <c r="I1976" i="1" s="1"/>
  <c r="G1981" i="1" a="1"/>
  <c r="G1981" i="1" s="1"/>
  <c r="H1977" i="1" a="1"/>
  <c r="H1977" i="1" s="1"/>
  <c r="F1984" i="1" a="1"/>
  <c r="F1984" i="1" s="1"/>
  <c r="F1983" i="1" a="1"/>
  <c r="F1983" i="1" s="1"/>
  <c r="G1982" i="1" a="1"/>
  <c r="G1982" i="1" s="1"/>
  <c r="H1968" i="1" a="1"/>
  <c r="H1968" i="1" s="1"/>
  <c r="K1966" i="1" a="1"/>
  <c r="K1966" i="1" s="1"/>
  <c r="K1967" i="1" a="1"/>
  <c r="K1967" i="1" s="1"/>
  <c r="G1972" i="1" a="1"/>
  <c r="G1972" i="1" s="1"/>
  <c r="G1969" i="1" a="1"/>
  <c r="G1969" i="1" s="1"/>
  <c r="J1967" i="1" a="1"/>
  <c r="J1967" i="1" s="1"/>
  <c r="K1965" i="1" a="1"/>
  <c r="K1965" i="1" s="1"/>
  <c r="H1971" i="1" a="1"/>
  <c r="H1971" i="1" s="1"/>
  <c r="J1966" i="1" a="1"/>
  <c r="J1966" i="1" s="1"/>
  <c r="I1965" i="1" a="1"/>
  <c r="I1965" i="1" s="1"/>
  <c r="G1966" i="1" a="1"/>
  <c r="G1966" i="1" s="1"/>
  <c r="G1975" i="1" a="1"/>
  <c r="G1975" i="1" s="1"/>
  <c r="F1975" i="1" a="1"/>
  <c r="F1975" i="1" s="1"/>
  <c r="K1974" i="1" a="1"/>
  <c r="K1974" i="1" s="1"/>
  <c r="J1974" i="1" a="1"/>
  <c r="J1974" i="1" s="1"/>
  <c r="I1974" i="1" a="1"/>
  <c r="I1974" i="1" s="1"/>
  <c r="H1974" i="1" a="1"/>
  <c r="H1974" i="1" s="1"/>
  <c r="G1974" i="1" a="1"/>
  <c r="G1974" i="1" s="1"/>
  <c r="I1967" i="1" a="1"/>
  <c r="I1967" i="1" s="1"/>
  <c r="H1967" i="1" a="1"/>
  <c r="H1967" i="1" s="1"/>
  <c r="F1974" i="1" a="1"/>
  <c r="F1974" i="1" s="1"/>
  <c r="I1970" i="1" a="1"/>
  <c r="I1970" i="1" s="1"/>
  <c r="H1966" i="1" a="1"/>
  <c r="H1966" i="1" s="1"/>
  <c r="J1965" i="1" a="1"/>
  <c r="J1965" i="1" s="1"/>
  <c r="F1966" i="1" a="1"/>
  <c r="F1966" i="1" s="1"/>
  <c r="J1972" i="1" a="1"/>
  <c r="J1972" i="1" s="1"/>
  <c r="J1970" i="1" a="1"/>
  <c r="J1970" i="1" s="1"/>
  <c r="H1969" i="1" a="1"/>
  <c r="H1969" i="1" s="1"/>
  <c r="G1968" i="1" a="1"/>
  <c r="G1968" i="1" s="1"/>
  <c r="F1968" i="1" a="1"/>
  <c r="F1968" i="1" s="1"/>
  <c r="K1964" i="1" a="1"/>
  <c r="K1964" i="1" s="1"/>
  <c r="I1972" i="1" a="1"/>
  <c r="I1972" i="1" s="1"/>
  <c r="H1972" i="1" a="1"/>
  <c r="H1972" i="1" s="1"/>
  <c r="K1972" i="1" a="1"/>
  <c r="K1972" i="1" s="1"/>
  <c r="F1965" i="1" a="1"/>
  <c r="F1965" i="1" s="1"/>
  <c r="J1971" i="1" a="1"/>
  <c r="J1971" i="1" s="1"/>
  <c r="I1966" i="1" a="1"/>
  <c r="I1966" i="1" s="1"/>
  <c r="G1971" i="1" a="1"/>
  <c r="G1971" i="1" s="1"/>
  <c r="H1965" i="1" a="1"/>
  <c r="H1965" i="1" s="1"/>
  <c r="I1968" i="1" a="1"/>
  <c r="I1968" i="1" s="1"/>
  <c r="I1969" i="1" a="1"/>
  <c r="I1969" i="1" s="1"/>
  <c r="J1968" i="1" a="1"/>
  <c r="J1968" i="1" s="1"/>
  <c r="F1972" i="1" a="1"/>
  <c r="F1972" i="1" s="1"/>
  <c r="I1971" i="1" a="1"/>
  <c r="I1971" i="1" s="1"/>
  <c r="K1969" i="1" a="1"/>
  <c r="K1969" i="1" s="1"/>
  <c r="F1967" i="1" a="1"/>
  <c r="F1967" i="1" s="1"/>
  <c r="K1971" i="1" a="1"/>
  <c r="K1971" i="1" s="1"/>
  <c r="F1971" i="1" a="1"/>
  <c r="F1971" i="1" s="1"/>
  <c r="G1970" i="1" a="1"/>
  <c r="G1970" i="1" s="1"/>
  <c r="F1970" i="1" a="1"/>
  <c r="F1970" i="1" s="1"/>
  <c r="K1968" i="1" a="1"/>
  <c r="K1968" i="1" s="1"/>
  <c r="H1970" i="1" a="1"/>
  <c r="H1970" i="1" s="1"/>
  <c r="G1965" i="1" a="1"/>
  <c r="G1965" i="1" s="1"/>
  <c r="K1970" i="1" a="1"/>
  <c r="K1970" i="1" s="1"/>
  <c r="F1969" i="1" a="1"/>
  <c r="F1969" i="1" s="1"/>
  <c r="J1969" i="1" a="1"/>
  <c r="J1969" i="1" s="1"/>
  <c r="G1967" i="1" a="1"/>
  <c r="G1967" i="1" s="1"/>
  <c r="J1960" i="1" a="1"/>
  <c r="J1960" i="1" s="1"/>
  <c r="F1956" i="1" a="1"/>
  <c r="F1956" i="1" s="1"/>
  <c r="H1958" i="1" a="1"/>
  <c r="H1958" i="1" s="1"/>
  <c r="J1961" i="1" a="1"/>
  <c r="J1961" i="1" s="1"/>
  <c r="F1962" i="1" a="1"/>
  <c r="F1962" i="1" s="1"/>
  <c r="F1960" i="1" a="1"/>
  <c r="F1960" i="1" s="1"/>
  <c r="F1959" i="1" a="1"/>
  <c r="F1959" i="1" s="1"/>
  <c r="H1960" i="1" a="1"/>
  <c r="H1960" i="1" s="1"/>
  <c r="F1957" i="1" a="1"/>
  <c r="F1957" i="1" s="1"/>
  <c r="J1959" i="1" a="1"/>
  <c r="J1959" i="1" s="1"/>
  <c r="F1958" i="1" a="1"/>
  <c r="F1958" i="1" s="1"/>
  <c r="F1955" i="1" a="1"/>
  <c r="F1955" i="1" s="1"/>
  <c r="H1954" i="1" a="1"/>
  <c r="H1954" i="1" s="1"/>
  <c r="J1964" i="1" a="1"/>
  <c r="J1964" i="1" s="1"/>
  <c r="I1964" i="1" a="1"/>
  <c r="I1964" i="1" s="1"/>
  <c r="F1963" i="1" a="1"/>
  <c r="F1963" i="1" s="1"/>
  <c r="K1954" i="1" a="1"/>
  <c r="K1954" i="1" s="1"/>
  <c r="G1954" i="1" a="1"/>
  <c r="G1954" i="1" s="1"/>
  <c r="H1964" i="1" a="1"/>
  <c r="H1964" i="1" s="1"/>
  <c r="F1964" i="1" a="1"/>
  <c r="F1964" i="1" s="1"/>
  <c r="G1963" i="1" a="1"/>
  <c r="G1963" i="1" s="1"/>
  <c r="K1962" i="1" a="1"/>
  <c r="K1962" i="1" s="1"/>
  <c r="G1962" i="1" a="1"/>
  <c r="G1962" i="1" s="1"/>
  <c r="I1956" i="1" a="1"/>
  <c r="I1956" i="1" s="1"/>
  <c r="K1961" i="1" a="1"/>
  <c r="K1961" i="1" s="1"/>
  <c r="H1959" i="1" a="1"/>
  <c r="H1959" i="1" s="1"/>
  <c r="K1955" i="1" a="1"/>
  <c r="K1955" i="1" s="1"/>
  <c r="I1955" i="1" a="1"/>
  <c r="I1955" i="1" s="1"/>
  <c r="G1960" i="1" a="1"/>
  <c r="G1960" i="1" s="1"/>
  <c r="I1957" i="1" a="1"/>
  <c r="I1957" i="1" s="1"/>
  <c r="H1957" i="1" a="1"/>
  <c r="H1957" i="1" s="1"/>
  <c r="H1955" i="1" a="1"/>
  <c r="H1955" i="1" s="1"/>
  <c r="I1959" i="1" a="1"/>
  <c r="I1959" i="1" s="1"/>
  <c r="G1964" i="1" a="1"/>
  <c r="G1964" i="1" s="1"/>
  <c r="J1955" i="1" a="1"/>
  <c r="J1955" i="1" s="1"/>
  <c r="K1963" i="1" a="1"/>
  <c r="K1963" i="1" s="1"/>
  <c r="K1960" i="1" a="1"/>
  <c r="K1960" i="1" s="1"/>
  <c r="K1958" i="1" a="1"/>
  <c r="K1958" i="1" s="1"/>
  <c r="I1958" i="1" a="1"/>
  <c r="I1958" i="1" s="1"/>
  <c r="H1956" i="1" a="1"/>
  <c r="H1956" i="1" s="1"/>
  <c r="H1963" i="1" a="1"/>
  <c r="H1963" i="1" s="1"/>
  <c r="G1955" i="1" a="1"/>
  <c r="G1955" i="1" s="1"/>
  <c r="H1961" i="1" a="1"/>
  <c r="H1961" i="1" s="1"/>
  <c r="J1962" i="1" a="1"/>
  <c r="J1962" i="1" s="1"/>
  <c r="J1954" i="1" a="1"/>
  <c r="J1954" i="1" s="1"/>
  <c r="K1957" i="1" a="1"/>
  <c r="K1957" i="1" s="1"/>
  <c r="J1958" i="1" a="1"/>
  <c r="J1958" i="1" s="1"/>
  <c r="F1961" i="1" a="1"/>
  <c r="F1961" i="1" s="1"/>
  <c r="K1959" i="1" a="1"/>
  <c r="K1959" i="1" s="1"/>
  <c r="J1963" i="1" a="1"/>
  <c r="J1963" i="1" s="1"/>
  <c r="I1961" i="1" a="1"/>
  <c r="I1961" i="1" s="1"/>
  <c r="I1960" i="1" a="1"/>
  <c r="I1960" i="1" s="1"/>
  <c r="J1957" i="1" a="1"/>
  <c r="J1957" i="1" s="1"/>
  <c r="I1954" i="1" a="1"/>
  <c r="I1954" i="1" s="1"/>
  <c r="K1956" i="1" a="1"/>
  <c r="K1956" i="1" s="1"/>
  <c r="G1958" i="1" a="1"/>
  <c r="G1958" i="1" s="1"/>
  <c r="G1956" i="1" a="1"/>
  <c r="G1956" i="1" s="1"/>
  <c r="I1963" i="1" a="1"/>
  <c r="I1963" i="1" s="1"/>
  <c r="I1962" i="1" a="1"/>
  <c r="I1962" i="1" s="1"/>
  <c r="H1962" i="1" a="1"/>
  <c r="H1962" i="1" s="1"/>
  <c r="G1957" i="1" a="1"/>
  <c r="G1957" i="1" s="1"/>
  <c r="G1961" i="1" a="1"/>
  <c r="G1961" i="1" s="1"/>
  <c r="G1959" i="1" a="1"/>
  <c r="G1959" i="1" s="1"/>
  <c r="J1956" i="1" a="1"/>
  <c r="J1956" i="1" s="1"/>
  <c r="I1943" i="1" a="1"/>
  <c r="I1943" i="1" s="1"/>
  <c r="J1952" i="1" a="1"/>
  <c r="J1952" i="1" s="1"/>
  <c r="K1943" i="1" a="1"/>
  <c r="K1943" i="1" s="1"/>
  <c r="I1952" i="1" a="1"/>
  <c r="I1952" i="1" s="1"/>
  <c r="F1951" i="1" a="1"/>
  <c r="F1951" i="1" s="1"/>
  <c r="I1948" i="1" a="1"/>
  <c r="I1948" i="1" s="1"/>
  <c r="F1952" i="1" a="1"/>
  <c r="F1952" i="1" s="1"/>
  <c r="J1948" i="1" a="1"/>
  <c r="J1948" i="1" s="1"/>
  <c r="J1945" i="1" a="1"/>
  <c r="J1945" i="1" s="1"/>
  <c r="H1952" i="1" a="1"/>
  <c r="H1952" i="1" s="1"/>
  <c r="I1947" i="1" a="1"/>
  <c r="I1947" i="1" s="1"/>
  <c r="G1947" i="1" a="1"/>
  <c r="G1947" i="1" s="1"/>
  <c r="G1943" i="1" a="1"/>
  <c r="G1943" i="1" s="1"/>
  <c r="H1945" i="1" a="1"/>
  <c r="H1945" i="1" s="1"/>
  <c r="G1952" i="1" a="1"/>
  <c r="G1952" i="1" s="1"/>
  <c r="F1947" i="1" a="1"/>
  <c r="F1947" i="1" s="1"/>
  <c r="K1951" i="1" a="1"/>
  <c r="K1951" i="1" s="1"/>
  <c r="H1951" i="1" a="1"/>
  <c r="H1951" i="1" s="1"/>
  <c r="J1946" i="1" a="1"/>
  <c r="J1946" i="1" s="1"/>
  <c r="I1946" i="1" a="1"/>
  <c r="I1946" i="1" s="1"/>
  <c r="K1946" i="1" a="1"/>
  <c r="K1946" i="1" s="1"/>
  <c r="F1945" i="1" a="1"/>
  <c r="F1945" i="1" s="1"/>
  <c r="F1944" i="1" a="1"/>
  <c r="F1944" i="1" s="1"/>
  <c r="K1950" i="1" a="1"/>
  <c r="K1950" i="1" s="1"/>
  <c r="H1943" i="1" a="1"/>
  <c r="H1943" i="1" s="1"/>
  <c r="H1948" i="1" a="1"/>
  <c r="H1948" i="1" s="1"/>
  <c r="I1944" i="1" a="1"/>
  <c r="I1944" i="1" s="1"/>
  <c r="H1950" i="1" a="1"/>
  <c r="H1950" i="1" s="1"/>
  <c r="J1950" i="1" a="1"/>
  <c r="J1950" i="1" s="1"/>
  <c r="J1951" i="1" a="1"/>
  <c r="J1951" i="1" s="1"/>
  <c r="G1950" i="1" a="1"/>
  <c r="G1950" i="1" s="1"/>
  <c r="F1950" i="1" a="1"/>
  <c r="F1950" i="1" s="1"/>
  <c r="K1944" i="1" a="1"/>
  <c r="K1944" i="1" s="1"/>
  <c r="J1953" i="1" a="1"/>
  <c r="J1953" i="1" s="1"/>
  <c r="K1945" i="1" a="1"/>
  <c r="K1945" i="1" s="1"/>
  <c r="I1950" i="1" a="1"/>
  <c r="I1950" i="1" s="1"/>
  <c r="F1954" i="1" a="1"/>
  <c r="F1954" i="1" s="1"/>
  <c r="K1953" i="1" a="1"/>
  <c r="K1953" i="1" s="1"/>
  <c r="G1951" i="1" a="1"/>
  <c r="G1951" i="1" s="1"/>
  <c r="K1948" i="1" a="1"/>
  <c r="K1948" i="1" s="1"/>
  <c r="F1948" i="1" a="1"/>
  <c r="F1948" i="1" s="1"/>
  <c r="G1944" i="1" a="1"/>
  <c r="G1944" i="1" s="1"/>
  <c r="F1943" i="1" a="1"/>
  <c r="F1943" i="1" s="1"/>
  <c r="K1947" i="1" a="1"/>
  <c r="K1947" i="1" s="1"/>
  <c r="G1948" i="1" a="1"/>
  <c r="G1948" i="1" s="1"/>
  <c r="J1947" i="1" a="1"/>
  <c r="J1947" i="1" s="1"/>
  <c r="H1944" i="1" a="1"/>
  <c r="H1944" i="1" s="1"/>
  <c r="J1944" i="1" a="1"/>
  <c r="J1944" i="1" s="1"/>
  <c r="J1943" i="1" a="1"/>
  <c r="J1943" i="1" s="1"/>
  <c r="H1947" i="1" a="1"/>
  <c r="H1947" i="1" s="1"/>
  <c r="H1953" i="1" a="1"/>
  <c r="H1953" i="1" s="1"/>
  <c r="H1946" i="1" a="1"/>
  <c r="H1946" i="1" s="1"/>
  <c r="I1953" i="1" a="1"/>
  <c r="I1953" i="1" s="1"/>
  <c r="G1953" i="1" a="1"/>
  <c r="G1953" i="1" s="1"/>
  <c r="I1945" i="1" a="1"/>
  <c r="I1945" i="1" s="1"/>
  <c r="F1953" i="1" a="1"/>
  <c r="F1953" i="1" s="1"/>
  <c r="K1952" i="1" a="1"/>
  <c r="K1952" i="1" s="1"/>
  <c r="I1951" i="1" a="1"/>
  <c r="I1951" i="1" s="1"/>
  <c r="G1945" i="1" a="1"/>
  <c r="G1945" i="1" s="1"/>
  <c r="G1946" i="1" a="1"/>
  <c r="G1946" i="1" s="1"/>
  <c r="F1946" i="1" a="1"/>
  <c r="F1946" i="1" s="1"/>
  <c r="K1933" i="1" a="1"/>
  <c r="K1933" i="1" s="1"/>
  <c r="G1940" i="1" a="1"/>
  <c r="G1940" i="1" s="1"/>
  <c r="H1936" i="1" a="1"/>
  <c r="H1936" i="1" s="1"/>
  <c r="F1935" i="1" a="1"/>
  <c r="F1935" i="1" s="1"/>
  <c r="H1939" i="1" a="1"/>
  <c r="H1939" i="1" s="1"/>
  <c r="H1933" i="1" a="1"/>
  <c r="H1933" i="1" s="1"/>
  <c r="F1937" i="1" a="1"/>
  <c r="F1937" i="1" s="1"/>
  <c r="H1938" i="1" a="1"/>
  <c r="H1938" i="1" s="1"/>
  <c r="F1938" i="1" a="1"/>
  <c r="F1938" i="1" s="1"/>
  <c r="K1935" i="1" a="1"/>
  <c r="K1935" i="1" s="1"/>
  <c r="K1936" i="1" a="1"/>
  <c r="K1936" i="1" s="1"/>
  <c r="F1934" i="1" a="1"/>
  <c r="F1934" i="1" s="1"/>
  <c r="I1933" i="1" a="1"/>
  <c r="I1933" i="1" s="1"/>
  <c r="J1934" i="1" a="1"/>
  <c r="J1934" i="1" s="1"/>
  <c r="I1936" i="1" a="1"/>
  <c r="I1936" i="1" s="1"/>
  <c r="J1936" i="1" a="1"/>
  <c r="J1936" i="1" s="1"/>
  <c r="J1938" i="1" a="1"/>
  <c r="J1938" i="1" s="1"/>
  <c r="G1941" i="1" a="1"/>
  <c r="G1941" i="1" s="1"/>
  <c r="F1939" i="1" a="1"/>
  <c r="F1939" i="1" s="1"/>
  <c r="G1936" i="1" a="1"/>
  <c r="G1936" i="1" s="1"/>
  <c r="F1941" i="1" a="1"/>
  <c r="F1941" i="1" s="1"/>
  <c r="I1939" i="1" a="1"/>
  <c r="I1939" i="1" s="1"/>
  <c r="I1935" i="1" a="1"/>
  <c r="I1935" i="1" s="1"/>
  <c r="H1932" i="1" a="1"/>
  <c r="H1932" i="1" s="1"/>
  <c r="K1934" i="1" a="1"/>
  <c r="K1934" i="1" s="1"/>
  <c r="F1933" i="1" a="1"/>
  <c r="F1933" i="1" s="1"/>
  <c r="K1932" i="1" a="1"/>
  <c r="K1932" i="1" s="1"/>
  <c r="I1940" i="1" a="1"/>
  <c r="I1940" i="1" s="1"/>
  <c r="G1939" i="1" a="1"/>
  <c r="G1939" i="1" s="1"/>
  <c r="G1938" i="1" a="1"/>
  <c r="G1938" i="1" s="1"/>
  <c r="G1935" i="1" a="1"/>
  <c r="G1935" i="1" s="1"/>
  <c r="J1937" i="1" a="1"/>
  <c r="J1937" i="1" s="1"/>
  <c r="J1932" i="1" a="1"/>
  <c r="J1932" i="1" s="1"/>
  <c r="H1940" i="1" a="1"/>
  <c r="H1940" i="1" s="1"/>
  <c r="K1942" i="1" a="1"/>
  <c r="K1942" i="1" s="1"/>
  <c r="J1942" i="1" a="1"/>
  <c r="J1942" i="1" s="1"/>
  <c r="H1937" i="1" a="1"/>
  <c r="H1937" i="1" s="1"/>
  <c r="I1942" i="1" a="1"/>
  <c r="I1942" i="1" s="1"/>
  <c r="H1942" i="1" a="1"/>
  <c r="H1942" i="1" s="1"/>
  <c r="G1942" i="1" a="1"/>
  <c r="G1942" i="1" s="1"/>
  <c r="F1942" i="1" a="1"/>
  <c r="F1942" i="1" s="1"/>
  <c r="K1941" i="1" a="1"/>
  <c r="K1941" i="1" s="1"/>
  <c r="I1941" i="1" a="1"/>
  <c r="I1941" i="1" s="1"/>
  <c r="I1934" i="1" a="1"/>
  <c r="I1934" i="1" s="1"/>
  <c r="H1935" i="1" a="1"/>
  <c r="H1935" i="1" s="1"/>
  <c r="K1940" i="1" a="1"/>
  <c r="K1940" i="1" s="1"/>
  <c r="F1940" i="1" a="1"/>
  <c r="F1940" i="1" s="1"/>
  <c r="K1939" i="1" a="1"/>
  <c r="K1939" i="1" s="1"/>
  <c r="G1937" i="1" a="1"/>
  <c r="G1937" i="1" s="1"/>
  <c r="J1939" i="1" a="1"/>
  <c r="J1939" i="1" s="1"/>
  <c r="K1938" i="1" a="1"/>
  <c r="K1938" i="1" s="1"/>
  <c r="F1936" i="1" a="1"/>
  <c r="F1936" i="1" s="1"/>
  <c r="J1935" i="1" a="1"/>
  <c r="J1935" i="1" s="1"/>
  <c r="H1934" i="1" a="1"/>
  <c r="H1934" i="1" s="1"/>
  <c r="J1933" i="1" a="1"/>
  <c r="J1933" i="1" s="1"/>
  <c r="G1933" i="1" a="1"/>
  <c r="G1933" i="1" s="1"/>
  <c r="I1938" i="1" a="1"/>
  <c r="I1938" i="1" s="1"/>
  <c r="G1934" i="1" a="1"/>
  <c r="G1934" i="1" s="1"/>
  <c r="I1932" i="1" a="1"/>
  <c r="I1932" i="1" s="1"/>
  <c r="J1941" i="1" a="1"/>
  <c r="J1941" i="1" s="1"/>
  <c r="H1941" i="1" a="1"/>
  <c r="H1941" i="1" s="1"/>
  <c r="J1940" i="1" a="1"/>
  <c r="J1940" i="1" s="1"/>
  <c r="I1937" i="1" a="1"/>
  <c r="I1937" i="1" s="1"/>
  <c r="K1937" i="1" a="1"/>
  <c r="K1937" i="1" s="1"/>
  <c r="F1925" i="1" a="1"/>
  <c r="F1925" i="1" s="1"/>
  <c r="H1924" i="1" a="1"/>
  <c r="H1924" i="1" s="1"/>
  <c r="I1928" i="1" a="1"/>
  <c r="I1928" i="1" s="1"/>
  <c r="K1922" i="1" a="1"/>
  <c r="K1922" i="1" s="1"/>
  <c r="I1926" i="1" a="1"/>
  <c r="I1926" i="1" s="1"/>
  <c r="J1923" i="1" a="1"/>
  <c r="J1923" i="1" s="1"/>
  <c r="F1924" i="1" a="1"/>
  <c r="F1924" i="1" s="1"/>
  <c r="G1926" i="1" a="1"/>
  <c r="G1926" i="1" s="1"/>
  <c r="F1922" i="1" a="1"/>
  <c r="F1922" i="1" s="1"/>
  <c r="G1928" i="1" a="1"/>
  <c r="G1928" i="1" s="1"/>
  <c r="I1927" i="1" a="1"/>
  <c r="I1927" i="1" s="1"/>
  <c r="F1928" i="1" a="1"/>
  <c r="F1928" i="1" s="1"/>
  <c r="H1927" i="1" a="1"/>
  <c r="H1927" i="1" s="1"/>
  <c r="H1925" i="1" a="1"/>
  <c r="H1925" i="1" s="1"/>
  <c r="G1927" i="1" a="1"/>
  <c r="G1927" i="1" s="1"/>
  <c r="G1924" i="1" a="1"/>
  <c r="G1924" i="1" s="1"/>
  <c r="I1923" i="1" a="1"/>
  <c r="I1923" i="1" s="1"/>
  <c r="H1922" i="1" a="1"/>
  <c r="H1922" i="1" s="1"/>
  <c r="H1926" i="1" a="1"/>
  <c r="H1926" i="1" s="1"/>
  <c r="J1922" i="1" a="1"/>
  <c r="J1922" i="1" s="1"/>
  <c r="H1923" i="1" a="1"/>
  <c r="H1923" i="1" s="1"/>
  <c r="H1931" i="1" a="1"/>
  <c r="H1931" i="1" s="1"/>
  <c r="K1928" i="1" a="1"/>
  <c r="K1928" i="1" s="1"/>
  <c r="I1925" i="1" a="1"/>
  <c r="I1925" i="1" s="1"/>
  <c r="K1923" i="1" a="1"/>
  <c r="K1923" i="1" s="1"/>
  <c r="J1921" i="1" a="1"/>
  <c r="J1921" i="1" s="1"/>
  <c r="G1932" i="1" a="1"/>
  <c r="G1932" i="1" s="1"/>
  <c r="J1931" i="1" a="1"/>
  <c r="J1931" i="1" s="1"/>
  <c r="J1924" i="1" a="1"/>
  <c r="J1924" i="1" s="1"/>
  <c r="G1929" i="1" a="1"/>
  <c r="G1929" i="1" s="1"/>
  <c r="F1930" i="1" a="1"/>
  <c r="F1930" i="1" s="1"/>
  <c r="J1926" i="1" a="1"/>
  <c r="J1926" i="1" s="1"/>
  <c r="I1924" i="1" a="1"/>
  <c r="I1924" i="1" s="1"/>
  <c r="K1921" i="1" a="1"/>
  <c r="K1921" i="1" s="1"/>
  <c r="F1932" i="1" a="1"/>
  <c r="F1932" i="1" s="1"/>
  <c r="J1927" i="1" a="1"/>
  <c r="J1927" i="1" s="1"/>
  <c r="K1931" i="1" a="1"/>
  <c r="K1931" i="1" s="1"/>
  <c r="I1931" i="1" a="1"/>
  <c r="I1931" i="1" s="1"/>
  <c r="G1930" i="1" a="1"/>
  <c r="G1930" i="1" s="1"/>
  <c r="K1926" i="1" a="1"/>
  <c r="K1926" i="1" s="1"/>
  <c r="G1931" i="1" a="1"/>
  <c r="G1931" i="1" s="1"/>
  <c r="F1929" i="1" a="1"/>
  <c r="F1929" i="1" s="1"/>
  <c r="G1922" i="1" a="1"/>
  <c r="G1922" i="1" s="1"/>
  <c r="F1926" i="1" a="1"/>
  <c r="F1926" i="1" s="1"/>
  <c r="G1925" i="1" a="1"/>
  <c r="G1925" i="1" s="1"/>
  <c r="F1931" i="1" a="1"/>
  <c r="F1931" i="1" s="1"/>
  <c r="K1930" i="1" a="1"/>
  <c r="K1930" i="1" s="1"/>
  <c r="J1930" i="1" a="1"/>
  <c r="J1930" i="1" s="1"/>
  <c r="H1930" i="1" a="1"/>
  <c r="H1930" i="1" s="1"/>
  <c r="I1929" i="1" a="1"/>
  <c r="I1929" i="1" s="1"/>
  <c r="F1923" i="1" a="1"/>
  <c r="F1923" i="1" s="1"/>
  <c r="K1925" i="1" a="1"/>
  <c r="K1925" i="1" s="1"/>
  <c r="K1927" i="1" a="1"/>
  <c r="K1927" i="1" s="1"/>
  <c r="F1927" i="1" a="1"/>
  <c r="F1927" i="1" s="1"/>
  <c r="I1922" i="1" a="1"/>
  <c r="I1922" i="1" s="1"/>
  <c r="K1924" i="1" a="1"/>
  <c r="K1924" i="1" s="1"/>
  <c r="H1928" i="1" a="1"/>
  <c r="H1928" i="1" s="1"/>
  <c r="I1930" i="1" a="1"/>
  <c r="I1930" i="1" s="1"/>
  <c r="J1928" i="1" a="1"/>
  <c r="J1928" i="1" s="1"/>
  <c r="K1929" i="1" a="1"/>
  <c r="K1929" i="1" s="1"/>
  <c r="J1929" i="1" a="1"/>
  <c r="J1929" i="1" s="1"/>
  <c r="G1923" i="1" a="1"/>
  <c r="G1923" i="1" s="1"/>
  <c r="H1929" i="1" a="1"/>
  <c r="H1929" i="1" s="1"/>
  <c r="J1925" i="1" a="1"/>
  <c r="J1925" i="1" s="1"/>
  <c r="I1912" i="1" a="1"/>
  <c r="I1912" i="1" s="1"/>
  <c r="F1913" i="1" a="1"/>
  <c r="F1913" i="1" s="1"/>
  <c r="I1921" i="1" a="1"/>
  <c r="I1921" i="1" s="1"/>
  <c r="J1912" i="1" a="1"/>
  <c r="J1912" i="1" s="1"/>
  <c r="H1919" i="1" a="1"/>
  <c r="H1919" i="1" s="1"/>
  <c r="G1918" i="1" a="1"/>
  <c r="G1918" i="1" s="1"/>
  <c r="H1914" i="1" a="1"/>
  <c r="H1914" i="1" s="1"/>
  <c r="H1921" i="1" a="1"/>
  <c r="H1921" i="1" s="1"/>
  <c r="G1915" i="1" a="1"/>
  <c r="G1915" i="1" s="1"/>
  <c r="J1915" i="1" a="1"/>
  <c r="J1915" i="1" s="1"/>
  <c r="J1919" i="1" a="1"/>
  <c r="J1919" i="1" s="1"/>
  <c r="I1919" i="1" a="1"/>
  <c r="I1919" i="1" s="1"/>
  <c r="F1915" i="1" a="1"/>
  <c r="F1915" i="1" s="1"/>
  <c r="G1921" i="1" a="1"/>
  <c r="G1921" i="1" s="1"/>
  <c r="F1921" i="1" a="1"/>
  <c r="F1921" i="1" s="1"/>
  <c r="H1913" i="1" a="1"/>
  <c r="H1913" i="1" s="1"/>
  <c r="K1920" i="1" a="1"/>
  <c r="K1920" i="1" s="1"/>
  <c r="J1920" i="1" a="1"/>
  <c r="J1920" i="1" s="1"/>
  <c r="F1918" i="1" a="1"/>
  <c r="F1918" i="1" s="1"/>
  <c r="G1916" i="1" a="1"/>
  <c r="G1916" i="1" s="1"/>
  <c r="K1911" i="1" a="1"/>
  <c r="K1911" i="1" s="1"/>
  <c r="F1914" i="1" a="1"/>
  <c r="F1914" i="1" s="1"/>
  <c r="G1911" i="1" a="1"/>
  <c r="G1911" i="1" s="1"/>
  <c r="I1913" i="1" a="1"/>
  <c r="I1913" i="1" s="1"/>
  <c r="I1920" i="1" a="1"/>
  <c r="I1920" i="1" s="1"/>
  <c r="G1920" i="1" a="1"/>
  <c r="G1920" i="1" s="1"/>
  <c r="K1918" i="1" a="1"/>
  <c r="K1918" i="1" s="1"/>
  <c r="J1918" i="1" a="1"/>
  <c r="J1918" i="1" s="1"/>
  <c r="H1918" i="1" a="1"/>
  <c r="H1918" i="1" s="1"/>
  <c r="F1917" i="1" a="1"/>
  <c r="F1917" i="1" s="1"/>
  <c r="K1912" i="1" a="1"/>
  <c r="K1912" i="1" s="1"/>
  <c r="J1917" i="1" a="1"/>
  <c r="J1917" i="1" s="1"/>
  <c r="I1914" i="1" a="1"/>
  <c r="I1914" i="1" s="1"/>
  <c r="K1919" i="1" a="1"/>
  <c r="K1919" i="1" s="1"/>
  <c r="G1919" i="1" a="1"/>
  <c r="G1919" i="1" s="1"/>
  <c r="K1915" i="1" a="1"/>
  <c r="K1915" i="1" s="1"/>
  <c r="F1911" i="1" a="1"/>
  <c r="F1911" i="1" s="1"/>
  <c r="I1918" i="1" a="1"/>
  <c r="I1918" i="1" s="1"/>
  <c r="G1914" i="1" a="1"/>
  <c r="G1914" i="1" s="1"/>
  <c r="J1914" i="1" a="1"/>
  <c r="J1914" i="1" s="1"/>
  <c r="H1920" i="1" a="1"/>
  <c r="H1920" i="1" s="1"/>
  <c r="F1919" i="1" a="1"/>
  <c r="F1919" i="1" s="1"/>
  <c r="I1917" i="1" a="1"/>
  <c r="I1917" i="1" s="1"/>
  <c r="H1917" i="1" a="1"/>
  <c r="H1917" i="1" s="1"/>
  <c r="H1915" i="1" a="1"/>
  <c r="H1915" i="1" s="1"/>
  <c r="G1917" i="1" a="1"/>
  <c r="G1917" i="1" s="1"/>
  <c r="G1912" i="1" a="1"/>
  <c r="G1912" i="1" s="1"/>
  <c r="J1916" i="1" a="1"/>
  <c r="J1916" i="1" s="1"/>
  <c r="K1914" i="1" a="1"/>
  <c r="K1914" i="1" s="1"/>
  <c r="H1912" i="1" a="1"/>
  <c r="H1912" i="1" s="1"/>
  <c r="I1911" i="1" a="1"/>
  <c r="I1911" i="1" s="1"/>
  <c r="G1913" i="1" a="1"/>
  <c r="G1913" i="1" s="1"/>
  <c r="I1916" i="1" a="1"/>
  <c r="I1916" i="1" s="1"/>
  <c r="K1913" i="1" a="1"/>
  <c r="K1913" i="1" s="1"/>
  <c r="H1911" i="1" a="1"/>
  <c r="H1911" i="1" s="1"/>
  <c r="F1912" i="1" a="1"/>
  <c r="F1912" i="1" s="1"/>
  <c r="F1920" i="1" a="1"/>
  <c r="F1920" i="1" s="1"/>
  <c r="I1915" i="1" a="1"/>
  <c r="I1915" i="1" s="1"/>
  <c r="K1917" i="1" a="1"/>
  <c r="K1917" i="1" s="1"/>
  <c r="K1916" i="1" a="1"/>
  <c r="K1916" i="1" s="1"/>
  <c r="H1916" i="1" a="1"/>
  <c r="H1916" i="1" s="1"/>
  <c r="J1911" i="1" a="1"/>
  <c r="J1911" i="1" s="1"/>
  <c r="F1916" i="1" a="1"/>
  <c r="F1916" i="1" s="1"/>
  <c r="J1913" i="1" a="1"/>
  <c r="J1913" i="1" s="1"/>
  <c r="F1902" i="1" a="1"/>
  <c r="F1902" i="1" s="1"/>
  <c r="H1905" i="1" a="1"/>
  <c r="H1905" i="1" s="1"/>
  <c r="K1903" i="1" a="1"/>
  <c r="K1903" i="1" s="1"/>
  <c r="F1910" i="1" a="1"/>
  <c r="F1910" i="1" s="1"/>
  <c r="H1906" i="1" a="1"/>
  <c r="H1906" i="1" s="1"/>
  <c r="K1902" i="1" a="1"/>
  <c r="K1902" i="1" s="1"/>
  <c r="K1908" i="1" a="1"/>
  <c r="K1908" i="1" s="1"/>
  <c r="K1907" i="1" a="1"/>
  <c r="K1907" i="1" s="1"/>
  <c r="I1906" i="1" a="1"/>
  <c r="I1906" i="1" s="1"/>
  <c r="J1905" i="1" a="1"/>
  <c r="J1905" i="1" s="1"/>
  <c r="K1904" i="1" a="1"/>
  <c r="K1904" i="1" s="1"/>
  <c r="F1905" i="1" a="1"/>
  <c r="F1905" i="1" s="1"/>
  <c r="G1904" i="1" a="1"/>
  <c r="G1904" i="1" s="1"/>
  <c r="H1902" i="1" a="1"/>
  <c r="H1902" i="1" s="1"/>
  <c r="F1901" i="1" a="1"/>
  <c r="F1901" i="1" s="1"/>
  <c r="H1903" i="1" a="1"/>
  <c r="H1903" i="1" s="1"/>
  <c r="G1902" i="1" a="1"/>
  <c r="G1902" i="1" s="1"/>
  <c r="J1907" i="1" a="1"/>
  <c r="J1907" i="1" s="1"/>
  <c r="J1906" i="1" a="1"/>
  <c r="J1906" i="1" s="1"/>
  <c r="G1905" i="1" a="1"/>
  <c r="G1905" i="1" s="1"/>
  <c r="F1904" i="1" a="1"/>
  <c r="F1904" i="1" s="1"/>
  <c r="I1903" i="1" a="1"/>
  <c r="I1903" i="1" s="1"/>
  <c r="F1903" i="1" a="1"/>
  <c r="F1903" i="1" s="1"/>
  <c r="H1901" i="1" a="1"/>
  <c r="H1901" i="1" s="1"/>
  <c r="K1901" i="1" a="1"/>
  <c r="K1901" i="1" s="1"/>
  <c r="G1907" i="1" a="1"/>
  <c r="G1907" i="1" s="1"/>
  <c r="K1905" i="1" a="1"/>
  <c r="K1905" i="1" s="1"/>
  <c r="K1900" i="1" a="1"/>
  <c r="K1900" i="1" s="1"/>
  <c r="G1901" i="1" a="1"/>
  <c r="G1901" i="1" s="1"/>
  <c r="H1910" i="1" a="1"/>
  <c r="H1910" i="1" s="1"/>
  <c r="K1909" i="1" a="1"/>
  <c r="K1909" i="1" s="1"/>
  <c r="I1908" i="1" a="1"/>
  <c r="I1908" i="1" s="1"/>
  <c r="K1906" i="1" a="1"/>
  <c r="K1906" i="1" s="1"/>
  <c r="G1910" i="1" a="1"/>
  <c r="G1910" i="1" s="1"/>
  <c r="G1906" i="1" a="1"/>
  <c r="G1906" i="1" s="1"/>
  <c r="J1909" i="1" a="1"/>
  <c r="J1909" i="1" s="1"/>
  <c r="J1902" i="1" a="1"/>
  <c r="J1902" i="1" s="1"/>
  <c r="J1908" i="1" a="1"/>
  <c r="J1908" i="1" s="1"/>
  <c r="F1907" i="1" a="1"/>
  <c r="F1907" i="1" s="1"/>
  <c r="F1908" i="1" a="1"/>
  <c r="F1908" i="1" s="1"/>
  <c r="J1901" i="1" a="1"/>
  <c r="J1901" i="1" s="1"/>
  <c r="I1902" i="1" a="1"/>
  <c r="I1902" i="1" s="1"/>
  <c r="I1909" i="1" a="1"/>
  <c r="I1909" i="1" s="1"/>
  <c r="I1900" i="1" a="1"/>
  <c r="I1900" i="1" s="1"/>
  <c r="H1909" i="1" a="1"/>
  <c r="H1909" i="1" s="1"/>
  <c r="I1904" i="1" a="1"/>
  <c r="I1904" i="1" s="1"/>
  <c r="G1908" i="1" a="1"/>
  <c r="G1908" i="1" s="1"/>
  <c r="J1904" i="1" a="1"/>
  <c r="J1904" i="1" s="1"/>
  <c r="H1904" i="1" a="1"/>
  <c r="H1904" i="1" s="1"/>
  <c r="J1900" i="1" a="1"/>
  <c r="J1900" i="1" s="1"/>
  <c r="F1906" i="1" a="1"/>
  <c r="F1906" i="1" s="1"/>
  <c r="J1903" i="1" a="1"/>
  <c r="J1903" i="1" s="1"/>
  <c r="H1908" i="1" a="1"/>
  <c r="H1908" i="1" s="1"/>
  <c r="I1905" i="1" a="1"/>
  <c r="I1905" i="1" s="1"/>
  <c r="I1907" i="1" a="1"/>
  <c r="I1907" i="1" s="1"/>
  <c r="K1910" i="1" a="1"/>
  <c r="K1910" i="1" s="1"/>
  <c r="G1909" i="1" a="1"/>
  <c r="G1909" i="1" s="1"/>
  <c r="J1910" i="1" a="1"/>
  <c r="J1910" i="1" s="1"/>
  <c r="H1900" i="1" a="1"/>
  <c r="H1900" i="1" s="1"/>
  <c r="I1910" i="1" a="1"/>
  <c r="I1910" i="1" s="1"/>
  <c r="F1909" i="1" a="1"/>
  <c r="F1909" i="1" s="1"/>
  <c r="I1901" i="1" a="1"/>
  <c r="I1901" i="1" s="1"/>
  <c r="H1907" i="1" a="1"/>
  <c r="H1907" i="1" s="1"/>
  <c r="G1903" i="1" a="1"/>
  <c r="G1903" i="1" s="1"/>
  <c r="K1899" i="1" a="1"/>
  <c r="K1899" i="1" s="1"/>
  <c r="I1899" i="1" a="1"/>
  <c r="I1899" i="1" s="1"/>
  <c r="G1899" i="1" a="1"/>
  <c r="G1899" i="1" s="1"/>
  <c r="F1899" i="1" a="1"/>
  <c r="F1899" i="1" s="1"/>
  <c r="G1900" i="1" a="1"/>
  <c r="G1900" i="1" s="1"/>
  <c r="F1900" i="1" a="1"/>
  <c r="F1900" i="1" s="1"/>
  <c r="J1899" i="1" a="1"/>
  <c r="J1899" i="1" s="1"/>
  <c r="H1899" i="1" a="1"/>
  <c r="H1899" i="1" s="1"/>
  <c r="J1670" i="1" a="1"/>
  <c r="J1670" i="1" s="1"/>
  <c r="F1671" i="1" a="1"/>
  <c r="F1671" i="1" s="1"/>
  <c r="G1671" i="1" a="1"/>
  <c r="G1671" i="1" s="1"/>
  <c r="K1671" i="1" a="1"/>
  <c r="K1671" i="1" s="1"/>
  <c r="J1671" i="1" a="1"/>
  <c r="J1671" i="1" s="1"/>
  <c r="H1671" i="1" a="1"/>
  <c r="H1671" i="1" s="1"/>
  <c r="I1671" i="1" a="1"/>
  <c r="I1671" i="1" s="1"/>
  <c r="K1670" i="1" a="1"/>
  <c r="K1670" i="1" s="1"/>
  <c r="J1663" i="1" a="1"/>
  <c r="J1663" i="1" s="1"/>
  <c r="F1663" i="1" a="1"/>
  <c r="F1663" i="1" s="1"/>
  <c r="H1660" i="1" a="1"/>
  <c r="H1660" i="1" s="1"/>
  <c r="I1668" i="1" a="1"/>
  <c r="I1668" i="1" s="1"/>
  <c r="F1660" i="1" a="1"/>
  <c r="F1660" i="1" s="1"/>
  <c r="K1662" i="1" a="1"/>
  <c r="K1662" i="1" s="1"/>
  <c r="H1669" i="1" a="1"/>
  <c r="H1669" i="1" s="1"/>
  <c r="F1669" i="1" a="1"/>
  <c r="F1669" i="1" s="1"/>
  <c r="J1662" i="1" a="1"/>
  <c r="J1662" i="1" s="1"/>
  <c r="K1668" i="1" a="1"/>
  <c r="K1668" i="1" s="1"/>
  <c r="F1662" i="1" a="1"/>
  <c r="F1662" i="1" s="1"/>
  <c r="I1665" i="1" a="1"/>
  <c r="I1665" i="1" s="1"/>
  <c r="J1659" i="1" a="1"/>
  <c r="J1659" i="1" s="1"/>
  <c r="J1667" i="1" a="1"/>
  <c r="J1667" i="1" s="1"/>
  <c r="J1665" i="1" a="1"/>
  <c r="J1665" i="1" s="1"/>
  <c r="I1667" i="1" a="1"/>
  <c r="I1667" i="1" s="1"/>
  <c r="G1667" i="1" a="1"/>
  <c r="G1667" i="1" s="1"/>
  <c r="K1666" i="1" a="1"/>
  <c r="K1666" i="1" s="1"/>
  <c r="I1666" i="1" a="1"/>
  <c r="I1666" i="1" s="1"/>
  <c r="G1666" i="1" a="1"/>
  <c r="G1666" i="1" s="1"/>
  <c r="H1665" i="1" a="1"/>
  <c r="H1665" i="1" s="1"/>
  <c r="K1659" i="1" a="1"/>
  <c r="K1659" i="1" s="1"/>
  <c r="I1659" i="1" a="1"/>
  <c r="I1659" i="1" s="1"/>
  <c r="F1666" i="1" a="1"/>
  <c r="F1666" i="1" s="1"/>
  <c r="I1663" i="1" a="1"/>
  <c r="I1663" i="1" s="1"/>
  <c r="H1663" i="1" a="1"/>
  <c r="H1663" i="1" s="1"/>
  <c r="J1669" i="1" a="1"/>
  <c r="J1669" i="1" s="1"/>
  <c r="G1669" i="1" a="1"/>
  <c r="G1669" i="1" s="1"/>
  <c r="I1664" i="1" a="1"/>
  <c r="I1664" i="1" s="1"/>
  <c r="K1660" i="1" a="1"/>
  <c r="K1660" i="1" s="1"/>
  <c r="J1660" i="1" a="1"/>
  <c r="J1660" i="1" s="1"/>
  <c r="J1668" i="1" a="1"/>
  <c r="J1668" i="1" s="1"/>
  <c r="I1660" i="1" a="1"/>
  <c r="I1660" i="1" s="1"/>
  <c r="G1665" i="1" a="1"/>
  <c r="G1665" i="1" s="1"/>
  <c r="G1662" i="1" a="1"/>
  <c r="G1662" i="1" s="1"/>
  <c r="I1670" i="1" a="1"/>
  <c r="I1670" i="1" s="1"/>
  <c r="G1664" i="1" a="1"/>
  <c r="G1664" i="1" s="1"/>
  <c r="H1670" i="1" a="1"/>
  <c r="H1670" i="1" s="1"/>
  <c r="G1670" i="1" a="1"/>
  <c r="G1670" i="1" s="1"/>
  <c r="F1670" i="1" a="1"/>
  <c r="F1670" i="1" s="1"/>
  <c r="F1667" i="1" a="1"/>
  <c r="F1667" i="1" s="1"/>
  <c r="H1664" i="1" a="1"/>
  <c r="H1664" i="1" s="1"/>
  <c r="H1667" i="1" a="1"/>
  <c r="H1667" i="1" s="1"/>
  <c r="H1662" i="1" a="1"/>
  <c r="H1662" i="1" s="1"/>
  <c r="F1665" i="1" a="1"/>
  <c r="F1665" i="1" s="1"/>
  <c r="K1664" i="1" a="1"/>
  <c r="K1664" i="1" s="1"/>
  <c r="J1664" i="1" a="1"/>
  <c r="J1664" i="1" s="1"/>
  <c r="F1664" i="1" a="1"/>
  <c r="F1664" i="1" s="1"/>
  <c r="G1660" i="1" a="1"/>
  <c r="G1660" i="1" s="1"/>
  <c r="K1663" i="1" a="1"/>
  <c r="K1663" i="1" s="1"/>
  <c r="G1663" i="1" a="1"/>
  <c r="G1663" i="1" s="1"/>
  <c r="I1662" i="1" a="1"/>
  <c r="I1662" i="1" s="1"/>
  <c r="K1669" i="1" a="1"/>
  <c r="K1669" i="1" s="1"/>
  <c r="I1669" i="1" a="1"/>
  <c r="I1669" i="1" s="1"/>
  <c r="K1665" i="1" a="1"/>
  <c r="K1665" i="1" s="1"/>
  <c r="H1668" i="1" a="1"/>
  <c r="H1668" i="1" s="1"/>
  <c r="G1668" i="1" a="1"/>
  <c r="G1668" i="1" s="1"/>
  <c r="F1668" i="1" a="1"/>
  <c r="F1668" i="1" s="1"/>
  <c r="K1667" i="1" a="1"/>
  <c r="K1667" i="1" s="1"/>
  <c r="J1666" i="1" a="1"/>
  <c r="J1666" i="1" s="1"/>
  <c r="H1666" i="1" a="1"/>
  <c r="H1666" i="1" s="1"/>
  <c r="J1652" i="1" a="1"/>
  <c r="J1652" i="1" s="1"/>
  <c r="J1645" i="1" a="1"/>
  <c r="J1645" i="1" s="1"/>
  <c r="J1658" i="1" a="1"/>
  <c r="J1658" i="1" s="1"/>
  <c r="G1642" i="1" a="1"/>
  <c r="G1642" i="1" s="1"/>
  <c r="F1645" i="1" a="1"/>
  <c r="F1645" i="1" s="1"/>
  <c r="H1652" i="1" a="1"/>
  <c r="H1652" i="1" s="1"/>
  <c r="G1652" i="1" a="1"/>
  <c r="G1652" i="1" s="1"/>
  <c r="G1644" i="1" a="1"/>
  <c r="G1644" i="1" s="1"/>
  <c r="F1646" i="1" a="1"/>
  <c r="F1646" i="1" s="1"/>
  <c r="I1644" i="1" a="1"/>
  <c r="I1644" i="1" s="1"/>
  <c r="G1659" i="1" a="1"/>
  <c r="G1659" i="1" s="1"/>
  <c r="F1658" i="1" a="1"/>
  <c r="F1658" i="1" s="1"/>
  <c r="H1645" i="1" a="1"/>
  <c r="H1645" i="1" s="1"/>
  <c r="K1641" i="1" a="1"/>
  <c r="K1641" i="1" s="1"/>
  <c r="J1641" i="1" a="1"/>
  <c r="J1641" i="1" s="1"/>
  <c r="F1659" i="1" a="1"/>
  <c r="F1659" i="1" s="1"/>
  <c r="H1644" i="1" a="1"/>
  <c r="H1644" i="1" s="1"/>
  <c r="I1645" i="1" a="1"/>
  <c r="I1645" i="1" s="1"/>
  <c r="F1644" i="1" a="1"/>
  <c r="F1644" i="1" s="1"/>
  <c r="H1642" i="1" a="1"/>
  <c r="H1642" i="1" s="1"/>
  <c r="K1645" i="1" a="1"/>
  <c r="K1645" i="1" s="1"/>
  <c r="K1644" i="1" a="1"/>
  <c r="K1644" i="1" s="1"/>
  <c r="I1652" i="1" a="1"/>
  <c r="I1652" i="1" s="1"/>
  <c r="K1652" i="1" a="1"/>
  <c r="K1652" i="1" s="1"/>
  <c r="I1642" i="1" a="1"/>
  <c r="I1642" i="1" s="1"/>
  <c r="J1646" i="1" a="1"/>
  <c r="J1646" i="1" s="1"/>
  <c r="G1645" i="1" a="1"/>
  <c r="G1645" i="1" s="1"/>
  <c r="H1641" i="1" a="1"/>
  <c r="H1641" i="1" s="1"/>
  <c r="H1646" i="1" a="1"/>
  <c r="H1646" i="1" s="1"/>
  <c r="F1652" i="1" a="1"/>
  <c r="F1652" i="1" s="1"/>
  <c r="I1646" i="1" a="1"/>
  <c r="I1646" i="1" s="1"/>
  <c r="G1646" i="1" a="1"/>
  <c r="G1646" i="1" s="1"/>
  <c r="K1646" i="1" a="1"/>
  <c r="K1646" i="1" s="1"/>
  <c r="K1642" i="1" a="1"/>
  <c r="K1642" i="1" s="1"/>
  <c r="F1642" i="1" a="1"/>
  <c r="F1642" i="1" s="1"/>
  <c r="H1659" i="1" a="1"/>
  <c r="H1659" i="1" s="1"/>
  <c r="I1641" i="1" a="1"/>
  <c r="I1641" i="1" s="1"/>
  <c r="K1658" i="1" a="1"/>
  <c r="K1658" i="1" s="1"/>
  <c r="J1644" i="1" a="1"/>
  <c r="J1644" i="1" s="1"/>
  <c r="I1658" i="1" a="1"/>
  <c r="I1658" i="1" s="1"/>
  <c r="G1658" i="1" a="1"/>
  <c r="G1658" i="1" s="1"/>
  <c r="J1642" i="1" a="1"/>
  <c r="J1642" i="1" s="1"/>
  <c r="H1658" i="1" a="1"/>
  <c r="H1658" i="1" s="1"/>
  <c r="F1623" i="1" a="1"/>
  <c r="F1623" i="1" s="1"/>
  <c r="H1621" i="1" a="1"/>
  <c r="H1621" i="1" s="1"/>
  <c r="H1625" i="1" a="1"/>
  <c r="H1625" i="1" s="1"/>
  <c r="K1622" i="1" a="1"/>
  <c r="K1622" i="1" s="1"/>
  <c r="K1623" i="1" a="1"/>
  <c r="K1623" i="1" s="1"/>
  <c r="J1622" i="1" a="1"/>
  <c r="J1622" i="1" s="1"/>
  <c r="F1627" i="1" a="1"/>
  <c r="F1627" i="1" s="1"/>
  <c r="G1624" i="1" a="1"/>
  <c r="G1624" i="1" s="1"/>
  <c r="H1626" i="1" a="1"/>
  <c r="H1626" i="1" s="1"/>
  <c r="K1621" i="1" a="1"/>
  <c r="K1621" i="1" s="1"/>
  <c r="H1627" i="1" a="1"/>
  <c r="H1627" i="1" s="1"/>
  <c r="I1623" i="1" a="1"/>
  <c r="I1623" i="1" s="1"/>
  <c r="K1626" i="1" a="1"/>
  <c r="K1626" i="1" s="1"/>
  <c r="I1622" i="1" a="1"/>
  <c r="I1622" i="1" s="1"/>
  <c r="I1624" i="1" a="1"/>
  <c r="I1624" i="1" s="1"/>
  <c r="J1627" i="1" a="1"/>
  <c r="J1627" i="1" s="1"/>
  <c r="H1622" i="1" a="1"/>
  <c r="H1622" i="1" s="1"/>
  <c r="I1626" i="1" a="1"/>
  <c r="I1626" i="1" s="1"/>
  <c r="K1625" i="1" a="1"/>
  <c r="K1625" i="1" s="1"/>
  <c r="F1624" i="1" a="1"/>
  <c r="F1624" i="1" s="1"/>
  <c r="I1627" i="1" a="1"/>
  <c r="I1627" i="1" s="1"/>
  <c r="J1624" i="1" a="1"/>
  <c r="J1624" i="1" s="1"/>
  <c r="G1621" i="1" a="1"/>
  <c r="G1621" i="1" s="1"/>
  <c r="J1623" i="1" a="1"/>
  <c r="J1623" i="1" s="1"/>
  <c r="F1626" i="1" a="1"/>
  <c r="F1626" i="1" s="1"/>
  <c r="I1625" i="1" a="1"/>
  <c r="I1625" i="1" s="1"/>
  <c r="G1641" i="1" a="1"/>
  <c r="G1641" i="1" s="1"/>
  <c r="F1641" i="1" a="1"/>
  <c r="F1641" i="1" s="1"/>
  <c r="K1640" i="1" a="1"/>
  <c r="K1640" i="1" s="1"/>
  <c r="H1640" i="1" a="1"/>
  <c r="H1640" i="1" s="1"/>
  <c r="J1626" i="1" a="1"/>
  <c r="J1626" i="1" s="1"/>
  <c r="J1640" i="1" a="1"/>
  <c r="J1640" i="1" s="1"/>
  <c r="I1640" i="1" a="1"/>
  <c r="I1640" i="1" s="1"/>
  <c r="G1640" i="1" a="1"/>
  <c r="G1640" i="1" s="1"/>
  <c r="G1627" i="1" a="1"/>
  <c r="G1627" i="1" s="1"/>
  <c r="H1624" i="1" a="1"/>
  <c r="H1624" i="1" s="1"/>
  <c r="H1623" i="1" a="1"/>
  <c r="H1623" i="1" s="1"/>
  <c r="J1625" i="1" a="1"/>
  <c r="J1625" i="1" s="1"/>
  <c r="K1624" i="1" a="1"/>
  <c r="K1624" i="1" s="1"/>
  <c r="G1623" i="1" a="1"/>
  <c r="G1623" i="1" s="1"/>
  <c r="F1625" i="1" a="1"/>
  <c r="F1625" i="1" s="1"/>
  <c r="F1622" i="1" a="1"/>
  <c r="F1622" i="1" s="1"/>
  <c r="F1640" i="1" a="1"/>
  <c r="F1640" i="1" s="1"/>
  <c r="G1626" i="1" a="1"/>
  <c r="G1626" i="1" s="1"/>
  <c r="J1621" i="1" a="1"/>
  <c r="J1621" i="1" s="1"/>
  <c r="I1621" i="1" a="1"/>
  <c r="I1621" i="1" s="1"/>
  <c r="G1622" i="1" a="1"/>
  <c r="G1622" i="1" s="1"/>
  <c r="K1627" i="1" a="1"/>
  <c r="K1627" i="1" s="1"/>
  <c r="G1625" i="1" a="1"/>
  <c r="G1625" i="1" s="1"/>
  <c r="G1611" i="1" a="1"/>
  <c r="G1611" i="1" s="1"/>
  <c r="K1610" i="1" a="1"/>
  <c r="K1610" i="1" s="1"/>
  <c r="F1610" i="1" a="1"/>
  <c r="F1610" i="1" s="1"/>
  <c r="J1620" i="1" a="1"/>
  <c r="J1620" i="1" s="1"/>
  <c r="F1621" i="1" a="1"/>
  <c r="F1621" i="1" s="1"/>
  <c r="I1609" i="1" a="1"/>
  <c r="I1609" i="1" s="1"/>
  <c r="I1620" i="1" a="1"/>
  <c r="I1620" i="1" s="1"/>
  <c r="G1620" i="1" a="1"/>
  <c r="G1620" i="1" s="1"/>
  <c r="F1619" i="1" a="1"/>
  <c r="F1619" i="1" s="1"/>
  <c r="K1617" i="1" a="1"/>
  <c r="K1617" i="1" s="1"/>
  <c r="I1610" i="1" a="1"/>
  <c r="I1610" i="1" s="1"/>
  <c r="J1617" i="1" a="1"/>
  <c r="J1617" i="1" s="1"/>
  <c r="K1611" i="1" a="1"/>
  <c r="K1611" i="1" s="1"/>
  <c r="K1603" i="1" a="1"/>
  <c r="K1603" i="1" s="1"/>
  <c r="G1610" i="1" a="1"/>
  <c r="G1610" i="1" s="1"/>
  <c r="K1609" i="1" a="1"/>
  <c r="K1609" i="1" s="1"/>
  <c r="I1617" i="1" a="1"/>
  <c r="I1617" i="1" s="1"/>
  <c r="I1611" i="1" a="1"/>
  <c r="I1611" i="1" s="1"/>
  <c r="F1611" i="1" a="1"/>
  <c r="F1611" i="1" s="1"/>
  <c r="J1609" i="1" a="1"/>
  <c r="J1609" i="1" s="1"/>
  <c r="F1609" i="1" a="1"/>
  <c r="F1609" i="1" s="1"/>
  <c r="H1603" i="1" a="1"/>
  <c r="H1603" i="1" s="1"/>
  <c r="J1603" i="1" a="1"/>
  <c r="J1603" i="1" s="1"/>
  <c r="K1620" i="1" a="1"/>
  <c r="K1620" i="1" s="1"/>
  <c r="H1617" i="1" a="1"/>
  <c r="H1617" i="1" s="1"/>
  <c r="I1603" i="1" a="1"/>
  <c r="I1603" i="1" s="1"/>
  <c r="H1620" i="1" a="1"/>
  <c r="H1620" i="1" s="1"/>
  <c r="J1619" i="1" a="1"/>
  <c r="J1619" i="1" s="1"/>
  <c r="H1619" i="1" a="1"/>
  <c r="H1619" i="1" s="1"/>
  <c r="G1617" i="1" a="1"/>
  <c r="G1617" i="1" s="1"/>
  <c r="J1611" i="1" a="1"/>
  <c r="J1611" i="1" s="1"/>
  <c r="H1611" i="1" a="1"/>
  <c r="H1611" i="1" s="1"/>
  <c r="H1610" i="1" a="1"/>
  <c r="H1610" i="1" s="1"/>
  <c r="H1609" i="1" a="1"/>
  <c r="H1609" i="1" s="1"/>
  <c r="F1620" i="1" a="1"/>
  <c r="F1620" i="1" s="1"/>
  <c r="J1610" i="1" a="1"/>
  <c r="J1610" i="1" s="1"/>
  <c r="F1617" i="1" a="1"/>
  <c r="F1617" i="1" s="1"/>
  <c r="G1609" i="1" a="1"/>
  <c r="G1609" i="1" s="1"/>
  <c r="K1619" i="1" a="1"/>
  <c r="K1619" i="1" s="1"/>
  <c r="I1619" i="1" a="1"/>
  <c r="I1619" i="1" s="1"/>
  <c r="G1619" i="1" a="1"/>
  <c r="G1619" i="1" s="1"/>
  <c r="J1602" i="1" a="1"/>
  <c r="J1602" i="1" s="1"/>
  <c r="F1602" i="1" a="1"/>
  <c r="F1602" i="1" s="1"/>
  <c r="G1596" i="1" a="1"/>
  <c r="G1596" i="1" s="1"/>
  <c r="F1596" i="1" a="1"/>
  <c r="F1596" i="1" s="1"/>
  <c r="K1593" i="1" a="1"/>
  <c r="K1593" i="1" s="1"/>
  <c r="G1593" i="1" a="1"/>
  <c r="G1593" i="1" s="1"/>
  <c r="K1594" i="1" a="1"/>
  <c r="K1594" i="1" s="1"/>
  <c r="J1594" i="1" a="1"/>
  <c r="J1594" i="1" s="1"/>
  <c r="H1593" i="1" a="1"/>
  <c r="H1593" i="1" s="1"/>
  <c r="K1602" i="1" a="1"/>
  <c r="K1602" i="1" s="1"/>
  <c r="G1603" i="1" a="1"/>
  <c r="G1603" i="1" s="1"/>
  <c r="F1603" i="1" a="1"/>
  <c r="F1603" i="1" s="1"/>
  <c r="I1596" i="1" a="1"/>
  <c r="I1596" i="1" s="1"/>
  <c r="F1594" i="1" a="1"/>
  <c r="F1594" i="1" s="1"/>
  <c r="I1602" i="1" a="1"/>
  <c r="I1602" i="1" s="1"/>
  <c r="H1602" i="1" a="1"/>
  <c r="H1602" i="1" s="1"/>
  <c r="G1602" i="1" a="1"/>
  <c r="G1602" i="1" s="1"/>
  <c r="K1596" i="1" a="1"/>
  <c r="K1596" i="1" s="1"/>
  <c r="H1594" i="1" a="1"/>
  <c r="H1594" i="1" s="1"/>
  <c r="J1593" i="1" a="1"/>
  <c r="J1593" i="1" s="1"/>
  <c r="J1596" i="1" a="1"/>
  <c r="J1596" i="1" s="1"/>
  <c r="H1596" i="1" a="1"/>
  <c r="H1596" i="1" s="1"/>
  <c r="I1594" i="1" a="1"/>
  <c r="I1594" i="1" s="1"/>
  <c r="G1594" i="1" a="1"/>
  <c r="G1594" i="1" s="1"/>
  <c r="I1593" i="1" a="1"/>
  <c r="I1593" i="1" s="1"/>
  <c r="F1593" i="1" a="1"/>
  <c r="F1593" i="1" s="1"/>
  <c r="F1572" i="1" a="1"/>
  <c r="F1572" i="1" s="1"/>
  <c r="J1575" i="1" a="1"/>
  <c r="J1575" i="1" s="1"/>
  <c r="F1580" i="1" a="1"/>
  <c r="F1580" i="1" s="1"/>
  <c r="J1572" i="1" a="1"/>
  <c r="J1572" i="1" s="1"/>
  <c r="K1574" i="1" a="1"/>
  <c r="K1574" i="1" s="1"/>
  <c r="J1573" i="1" a="1"/>
  <c r="J1573" i="1" s="1"/>
  <c r="G1570" i="1" a="1"/>
  <c r="G1570" i="1" s="1"/>
  <c r="F1574" i="1" a="1"/>
  <c r="F1574" i="1" s="1"/>
  <c r="I1573" i="1" a="1"/>
  <c r="I1573" i="1" s="1"/>
  <c r="I1580" i="1" a="1"/>
  <c r="I1580" i="1" s="1"/>
  <c r="G1578" i="1" a="1"/>
  <c r="G1578" i="1" s="1"/>
  <c r="J1577" i="1" a="1"/>
  <c r="J1577" i="1" s="1"/>
  <c r="H1575" i="1" a="1"/>
  <c r="H1575" i="1" s="1"/>
  <c r="G1575" i="1" a="1"/>
  <c r="G1575" i="1" s="1"/>
  <c r="K1572" i="1" a="1"/>
  <c r="K1572" i="1" s="1"/>
  <c r="H1577" i="1" a="1"/>
  <c r="H1577" i="1" s="1"/>
  <c r="J1574" i="1" a="1"/>
  <c r="J1574" i="1" s="1"/>
  <c r="G1572" i="1" a="1"/>
  <c r="G1572" i="1" s="1"/>
  <c r="I1576" i="1" a="1"/>
  <c r="I1576" i="1" s="1"/>
  <c r="I1572" i="1" a="1"/>
  <c r="I1572" i="1" s="1"/>
  <c r="I1574" i="1" a="1"/>
  <c r="I1574" i="1" s="1"/>
  <c r="I1577" i="1" a="1"/>
  <c r="I1577" i="1" s="1"/>
  <c r="J1576" i="1" a="1"/>
  <c r="J1576" i="1" s="1"/>
  <c r="H1576" i="1" a="1"/>
  <c r="H1576" i="1" s="1"/>
  <c r="G1576" i="1" a="1"/>
  <c r="G1576" i="1" s="1"/>
  <c r="F1576" i="1" a="1"/>
  <c r="F1576" i="1" s="1"/>
  <c r="H1572" i="1" a="1"/>
  <c r="H1572" i="1" s="1"/>
  <c r="I1575" i="1" a="1"/>
  <c r="I1575" i="1" s="1"/>
  <c r="K1573" i="1" a="1"/>
  <c r="K1573" i="1" s="1"/>
  <c r="H1580" i="1" a="1"/>
  <c r="H1580" i="1" s="1"/>
  <c r="K1576" i="1" a="1"/>
  <c r="K1576" i="1" s="1"/>
  <c r="J1578" i="1" a="1"/>
  <c r="J1578" i="1" s="1"/>
  <c r="K1570" i="1" a="1"/>
  <c r="K1570" i="1" s="1"/>
  <c r="G1580" i="1" a="1"/>
  <c r="G1580" i="1" s="1"/>
  <c r="J1580" i="1" a="1"/>
  <c r="J1580" i="1" s="1"/>
  <c r="I1570" i="1" a="1"/>
  <c r="I1570" i="1" s="1"/>
  <c r="I1579" i="1" a="1"/>
  <c r="I1579" i="1" s="1"/>
  <c r="F1577" i="1" a="1"/>
  <c r="F1577" i="1" s="1"/>
  <c r="J1579" i="1" a="1"/>
  <c r="J1579" i="1" s="1"/>
  <c r="H1579" i="1" a="1"/>
  <c r="H1579" i="1" s="1"/>
  <c r="G1574" i="1" a="1"/>
  <c r="G1574" i="1" s="1"/>
  <c r="K1578" i="1" a="1"/>
  <c r="K1578" i="1" s="1"/>
  <c r="H1578" i="1" a="1"/>
  <c r="H1578" i="1" s="1"/>
  <c r="K1577" i="1" a="1"/>
  <c r="K1577" i="1" s="1"/>
  <c r="G1573" i="1" a="1"/>
  <c r="G1573" i="1" s="1"/>
  <c r="G1577" i="1" a="1"/>
  <c r="G1577" i="1" s="1"/>
  <c r="H1570" i="1" a="1"/>
  <c r="H1570" i="1" s="1"/>
  <c r="F1578" i="1" a="1"/>
  <c r="F1578" i="1" s="1"/>
  <c r="F1573" i="1" a="1"/>
  <c r="F1573" i="1" s="1"/>
  <c r="F1579" i="1" a="1"/>
  <c r="F1579" i="1" s="1"/>
  <c r="H1573" i="1" a="1"/>
  <c r="H1573" i="1" s="1"/>
  <c r="K1580" i="1" a="1"/>
  <c r="K1580" i="1" s="1"/>
  <c r="K1579" i="1" a="1"/>
  <c r="K1579" i="1" s="1"/>
  <c r="G1579" i="1" a="1"/>
  <c r="G1579" i="1" s="1"/>
  <c r="I1578" i="1" a="1"/>
  <c r="I1578" i="1" s="1"/>
  <c r="K1575" i="1" a="1"/>
  <c r="K1575" i="1" s="1"/>
  <c r="H1574" i="1" a="1"/>
  <c r="H1574" i="1" s="1"/>
  <c r="J1570" i="1" a="1"/>
  <c r="J1570" i="1" s="1"/>
  <c r="F1575" i="1" a="1"/>
  <c r="F1575" i="1" s="1"/>
  <c r="H1563" i="1" a="1"/>
  <c r="H1563" i="1" s="1"/>
  <c r="F1555" i="1" a="1"/>
  <c r="F1555" i="1" s="1"/>
  <c r="G1563" i="1" a="1"/>
  <c r="G1563" i="1" s="1"/>
  <c r="F1562" i="1" a="1"/>
  <c r="F1562" i="1" s="1"/>
  <c r="K1562" i="1" a="1"/>
  <c r="K1562" i="1" s="1"/>
  <c r="H1549" i="1" a="1"/>
  <c r="H1549" i="1" s="1"/>
  <c r="H1555" i="1" a="1"/>
  <c r="H1555" i="1" s="1"/>
  <c r="G1556" i="1" a="1"/>
  <c r="G1556" i="1" s="1"/>
  <c r="F1556" i="1" a="1"/>
  <c r="F1556" i="1" s="1"/>
  <c r="J1556" i="1" a="1"/>
  <c r="J1556" i="1" s="1"/>
  <c r="K1549" i="1" a="1"/>
  <c r="K1549" i="1" s="1"/>
  <c r="K1556" i="1" a="1"/>
  <c r="K1556" i="1" s="1"/>
  <c r="J1555" i="1" a="1"/>
  <c r="J1555" i="1" s="1"/>
  <c r="J1564" i="1" a="1"/>
  <c r="J1564" i="1" s="1"/>
  <c r="G1564" i="1" a="1"/>
  <c r="G1564" i="1" s="1"/>
  <c r="I1563" i="1" a="1"/>
  <c r="I1563" i="1" s="1"/>
  <c r="F1549" i="1" a="1"/>
  <c r="F1549" i="1" s="1"/>
  <c r="F1570" i="1" a="1"/>
  <c r="F1570" i="1" s="1"/>
  <c r="I1564" i="1" a="1"/>
  <c r="I1564" i="1" s="1"/>
  <c r="I1549" i="1" a="1"/>
  <c r="I1549" i="1" s="1"/>
  <c r="H1562" i="1" a="1"/>
  <c r="H1562" i="1" s="1"/>
  <c r="K1555" i="1" a="1"/>
  <c r="K1555" i="1" s="1"/>
  <c r="F1564" i="1" a="1"/>
  <c r="F1564" i="1" s="1"/>
  <c r="I1555" i="1" a="1"/>
  <c r="I1555" i="1" s="1"/>
  <c r="H1556" i="1" a="1"/>
  <c r="H1556" i="1" s="1"/>
  <c r="G1549" i="1" a="1"/>
  <c r="G1549" i="1" s="1"/>
  <c r="I1556" i="1" a="1"/>
  <c r="I1556" i="1" s="1"/>
  <c r="K1564" i="1" a="1"/>
  <c r="K1564" i="1" s="1"/>
  <c r="F1563" i="1" a="1"/>
  <c r="F1563" i="1" s="1"/>
  <c r="G1555" i="1" a="1"/>
  <c r="G1555" i="1" s="1"/>
  <c r="J1549" i="1" a="1"/>
  <c r="J1549" i="1" s="1"/>
  <c r="J1562" i="1" a="1"/>
  <c r="J1562" i="1" s="1"/>
  <c r="H1564" i="1" a="1"/>
  <c r="H1564" i="1" s="1"/>
  <c r="I1562" i="1" a="1"/>
  <c r="I1562" i="1" s="1"/>
  <c r="G1562" i="1" a="1"/>
  <c r="G1562" i="1" s="1"/>
  <c r="K1563" i="1" a="1"/>
  <c r="K1563" i="1" s="1"/>
  <c r="J1563" i="1" a="1"/>
  <c r="J1563" i="1" s="1"/>
  <c r="I1529" i="1" a="1"/>
  <c r="I1529" i="1" s="1"/>
  <c r="H1525" i="1" a="1"/>
  <c r="H1525" i="1" s="1"/>
  <c r="G1528" i="1" a="1"/>
  <c r="G1528" i="1" s="1"/>
  <c r="I1527" i="1" a="1"/>
  <c r="I1527" i="1" s="1"/>
  <c r="K1526" i="1" a="1"/>
  <c r="K1526" i="1" s="1"/>
  <c r="F1528" i="1" a="1"/>
  <c r="F1528" i="1" s="1"/>
  <c r="J1526" i="1" a="1"/>
  <c r="J1526" i="1" s="1"/>
  <c r="J1524" i="1" a="1"/>
  <c r="J1524" i="1" s="1"/>
  <c r="H1524" i="1" a="1"/>
  <c r="H1524" i="1" s="1"/>
  <c r="F1529" i="1" a="1"/>
  <c r="F1529" i="1" s="1"/>
  <c r="J1525" i="1" a="1"/>
  <c r="J1525" i="1" s="1"/>
  <c r="J1527" i="1" a="1"/>
  <c r="J1527" i="1" s="1"/>
  <c r="G1529" i="1" a="1"/>
  <c r="G1529" i="1" s="1"/>
  <c r="F1525" i="1" a="1"/>
  <c r="F1525" i="1" s="1"/>
  <c r="G1547" i="1" a="1"/>
  <c r="G1547" i="1" s="1"/>
  <c r="K1524" i="1" a="1"/>
  <c r="K1524" i="1" s="1"/>
  <c r="J1546" i="1" a="1"/>
  <c r="J1546" i="1" s="1"/>
  <c r="G1525" i="1" a="1"/>
  <c r="G1525" i="1" s="1"/>
  <c r="K1547" i="1" a="1"/>
  <c r="K1547" i="1" s="1"/>
  <c r="J1547" i="1" a="1"/>
  <c r="J1547" i="1" s="1"/>
  <c r="H1527" i="1" a="1"/>
  <c r="H1527" i="1" s="1"/>
  <c r="I1546" i="1" a="1"/>
  <c r="I1546" i="1" s="1"/>
  <c r="F1526" i="1" a="1"/>
  <c r="F1526" i="1" s="1"/>
  <c r="I1547" i="1" a="1"/>
  <c r="I1547" i="1" s="1"/>
  <c r="H1547" i="1" a="1"/>
  <c r="H1547" i="1" s="1"/>
  <c r="J1529" i="1" a="1"/>
  <c r="J1529" i="1" s="1"/>
  <c r="I1528" i="1" a="1"/>
  <c r="I1528" i="1" s="1"/>
  <c r="F1527" i="1" a="1"/>
  <c r="F1527" i="1" s="1"/>
  <c r="I1524" i="1" a="1"/>
  <c r="I1524" i="1" s="1"/>
  <c r="F1547" i="1" a="1"/>
  <c r="F1547" i="1" s="1"/>
  <c r="G1527" i="1" a="1"/>
  <c r="G1527" i="1" s="1"/>
  <c r="K1546" i="1" a="1"/>
  <c r="K1546" i="1" s="1"/>
  <c r="H1546" i="1" a="1"/>
  <c r="H1546" i="1" s="1"/>
  <c r="G1546" i="1" a="1"/>
  <c r="G1546" i="1" s="1"/>
  <c r="K1528" i="1" a="1"/>
  <c r="K1528" i="1" s="1"/>
  <c r="F1546" i="1" a="1"/>
  <c r="F1546" i="1" s="1"/>
  <c r="H1526" i="1" a="1"/>
  <c r="H1526" i="1" s="1"/>
  <c r="H1528" i="1" a="1"/>
  <c r="H1528" i="1" s="1"/>
  <c r="K1527" i="1" a="1"/>
  <c r="K1527" i="1" s="1"/>
  <c r="I1525" i="1" a="1"/>
  <c r="I1525" i="1" s="1"/>
  <c r="I1526" i="1" a="1"/>
  <c r="I1526" i="1" s="1"/>
  <c r="G1526" i="1" a="1"/>
  <c r="G1526" i="1" s="1"/>
  <c r="H1529" i="1" a="1"/>
  <c r="H1529" i="1" s="1"/>
  <c r="G1524" i="1" a="1"/>
  <c r="G1524" i="1" s="1"/>
  <c r="J1528" i="1" a="1"/>
  <c r="J1528" i="1" s="1"/>
  <c r="K1525" i="1" a="1"/>
  <c r="K1525" i="1" s="1"/>
  <c r="K1529" i="1" a="1"/>
  <c r="K1529" i="1" s="1"/>
  <c r="K1521" i="1" a="1"/>
  <c r="K1521" i="1" s="1"/>
  <c r="G1515" i="1" a="1"/>
  <c r="G1515" i="1" s="1"/>
  <c r="F1520" i="1" a="1"/>
  <c r="F1520" i="1" s="1"/>
  <c r="I1513" i="1" a="1"/>
  <c r="I1513" i="1" s="1"/>
  <c r="G1521" i="1" a="1"/>
  <c r="G1521" i="1" s="1"/>
  <c r="H1519" i="1" a="1"/>
  <c r="H1519" i="1" s="1"/>
  <c r="H1520" i="1" a="1"/>
  <c r="H1520" i="1" s="1"/>
  <c r="F1523" i="1" a="1"/>
  <c r="F1523" i="1" s="1"/>
  <c r="J1521" i="1" a="1"/>
  <c r="J1521" i="1" s="1"/>
  <c r="K1518" i="1" a="1"/>
  <c r="K1518" i="1" s="1"/>
  <c r="H1518" i="1" a="1"/>
  <c r="H1518" i="1" s="1"/>
  <c r="F1524" i="1" a="1"/>
  <c r="F1524" i="1" s="1"/>
  <c r="J1518" i="1" a="1"/>
  <c r="J1518" i="1" s="1"/>
  <c r="J1513" i="1" a="1"/>
  <c r="J1513" i="1" s="1"/>
  <c r="G1513" i="1" a="1"/>
  <c r="G1513" i="1" s="1"/>
  <c r="K1523" i="1" a="1"/>
  <c r="K1523" i="1" s="1"/>
  <c r="J1523" i="1" a="1"/>
  <c r="J1523" i="1" s="1"/>
  <c r="F1515" i="1" a="1"/>
  <c r="F1515" i="1" s="1"/>
  <c r="F1514" i="1" a="1"/>
  <c r="F1514" i="1" s="1"/>
  <c r="F1522" i="1" a="1"/>
  <c r="F1522" i="1" s="1"/>
  <c r="J1520" i="1" a="1"/>
  <c r="J1520" i="1" s="1"/>
  <c r="K1515" i="1" a="1"/>
  <c r="K1515" i="1" s="1"/>
  <c r="I1515" i="1" a="1"/>
  <c r="I1515" i="1" s="1"/>
  <c r="I1519" i="1" a="1"/>
  <c r="I1519" i="1" s="1"/>
  <c r="H1515" i="1" a="1"/>
  <c r="H1515" i="1" s="1"/>
  <c r="I1523" i="1" a="1"/>
  <c r="I1523" i="1" s="1"/>
  <c r="H1513" i="1" a="1"/>
  <c r="H1513" i="1" s="1"/>
  <c r="G1517" i="1" a="1"/>
  <c r="G1517" i="1" s="1"/>
  <c r="H1523" i="1" a="1"/>
  <c r="H1523" i="1" s="1"/>
  <c r="H1521" i="1" a="1"/>
  <c r="H1521" i="1" s="1"/>
  <c r="G1523" i="1" a="1"/>
  <c r="G1523" i="1" s="1"/>
  <c r="K1522" i="1" a="1"/>
  <c r="K1522" i="1" s="1"/>
  <c r="J1519" i="1" a="1"/>
  <c r="J1519" i="1" s="1"/>
  <c r="I1517" i="1" a="1"/>
  <c r="I1517" i="1" s="1"/>
  <c r="G1522" i="1" a="1"/>
  <c r="G1522" i="1" s="1"/>
  <c r="J1522" i="1" a="1"/>
  <c r="J1522" i="1" s="1"/>
  <c r="I1518" i="1" a="1"/>
  <c r="I1518" i="1" s="1"/>
  <c r="K1514" i="1" a="1"/>
  <c r="K1514" i="1" s="1"/>
  <c r="H1522" i="1" a="1"/>
  <c r="H1522" i="1" s="1"/>
  <c r="I1522" i="1" a="1"/>
  <c r="I1522" i="1" s="1"/>
  <c r="F1513" i="1" a="1"/>
  <c r="F1513" i="1" s="1"/>
  <c r="I1521" i="1" a="1"/>
  <c r="I1521" i="1" s="1"/>
  <c r="F1521" i="1" a="1"/>
  <c r="F1521" i="1" s="1"/>
  <c r="K1519" i="1" a="1"/>
  <c r="K1519" i="1" s="1"/>
  <c r="G1519" i="1" a="1"/>
  <c r="G1519" i="1" s="1"/>
  <c r="F1517" i="1" a="1"/>
  <c r="F1517" i="1" s="1"/>
  <c r="J1514" i="1" a="1"/>
  <c r="J1514" i="1" s="1"/>
  <c r="F1519" i="1" a="1"/>
  <c r="F1519" i="1" s="1"/>
  <c r="F1518" i="1" a="1"/>
  <c r="F1518" i="1" s="1"/>
  <c r="H1514" i="1" a="1"/>
  <c r="H1514" i="1" s="1"/>
  <c r="K1513" i="1" a="1"/>
  <c r="K1513" i="1" s="1"/>
  <c r="K1520" i="1" a="1"/>
  <c r="K1520" i="1" s="1"/>
  <c r="I1520" i="1" a="1"/>
  <c r="I1520" i="1" s="1"/>
  <c r="G1514" i="1" a="1"/>
  <c r="G1514" i="1" s="1"/>
  <c r="G1520" i="1" a="1"/>
  <c r="G1520" i="1" s="1"/>
  <c r="K1517" i="1" a="1"/>
  <c r="K1517" i="1" s="1"/>
  <c r="G1518" i="1" a="1"/>
  <c r="G1518" i="1" s="1"/>
  <c r="J1517" i="1" a="1"/>
  <c r="J1517" i="1" s="1"/>
  <c r="H1517" i="1" a="1"/>
  <c r="H1517" i="1" s="1"/>
  <c r="J1515" i="1" a="1"/>
  <c r="J1515" i="1" s="1"/>
  <c r="I1514" i="1" a="1"/>
  <c r="I1514" i="1" s="1"/>
  <c r="I1505" i="1" a="1"/>
  <c r="I1505" i="1" s="1"/>
  <c r="I1512" i="1" a="1"/>
  <c r="I1512" i="1" s="1"/>
  <c r="H1512" i="1" a="1"/>
  <c r="H1512" i="1" s="1"/>
  <c r="F1503" i="1" a="1"/>
  <c r="F1503" i="1" s="1"/>
  <c r="G1512" i="1" a="1"/>
  <c r="G1512" i="1" s="1"/>
  <c r="F1512" i="1" a="1"/>
  <c r="F1512" i="1" s="1"/>
  <c r="K1511" i="1" a="1"/>
  <c r="K1511" i="1" s="1"/>
  <c r="F1505" i="1" a="1"/>
  <c r="F1505" i="1" s="1"/>
  <c r="G1503" i="1" a="1"/>
  <c r="G1503" i="1" s="1"/>
  <c r="H1511" i="1" a="1"/>
  <c r="H1511" i="1" s="1"/>
  <c r="H1505" i="1" a="1"/>
  <c r="H1505" i="1" s="1"/>
  <c r="K1504" i="1" a="1"/>
  <c r="K1504" i="1" s="1"/>
  <c r="I1502" i="1" a="1"/>
  <c r="I1502" i="1" s="1"/>
  <c r="K1502" i="1" a="1"/>
  <c r="K1502" i="1" s="1"/>
  <c r="F1511" i="1" a="1"/>
  <c r="F1511" i="1" s="1"/>
  <c r="H1504" i="1" a="1"/>
  <c r="H1504" i="1" s="1"/>
  <c r="K1503" i="1" a="1"/>
  <c r="K1503" i="1" s="1"/>
  <c r="J1503" i="1" a="1"/>
  <c r="J1503" i="1" s="1"/>
  <c r="H1500" i="1" a="1"/>
  <c r="H1500" i="1" s="1"/>
  <c r="J1500" i="1" a="1"/>
  <c r="J1500" i="1" s="1"/>
  <c r="G1502" i="1" a="1"/>
  <c r="G1502" i="1" s="1"/>
  <c r="I1503" i="1" a="1"/>
  <c r="I1503" i="1" s="1"/>
  <c r="I1500" i="1" a="1"/>
  <c r="I1500" i="1" s="1"/>
  <c r="I1504" i="1" a="1"/>
  <c r="I1504" i="1" s="1"/>
  <c r="H1502" i="1" a="1"/>
  <c r="H1502" i="1" s="1"/>
  <c r="K1505" i="1" a="1"/>
  <c r="K1505" i="1" s="1"/>
  <c r="G1505" i="1" a="1"/>
  <c r="G1505" i="1" s="1"/>
  <c r="F1504" i="1" a="1"/>
  <c r="F1504" i="1" s="1"/>
  <c r="F1500" i="1" a="1"/>
  <c r="F1500" i="1" s="1"/>
  <c r="J1504" i="1" a="1"/>
  <c r="J1504" i="1" s="1"/>
  <c r="G1504" i="1" a="1"/>
  <c r="G1504" i="1" s="1"/>
  <c r="G1500" i="1" a="1"/>
  <c r="G1500" i="1" s="1"/>
  <c r="J1505" i="1" a="1"/>
  <c r="J1505" i="1" s="1"/>
  <c r="H1503" i="1" a="1"/>
  <c r="H1503" i="1" s="1"/>
  <c r="F1502" i="1" a="1"/>
  <c r="F1502" i="1" s="1"/>
  <c r="K1500" i="1" a="1"/>
  <c r="K1500" i="1" s="1"/>
  <c r="J1502" i="1" a="1"/>
  <c r="J1502" i="1" s="1"/>
  <c r="J1511" i="1" a="1"/>
  <c r="J1511" i="1" s="1"/>
  <c r="I1511" i="1" a="1"/>
  <c r="I1511" i="1" s="1"/>
  <c r="G1511" i="1" a="1"/>
  <c r="G1511" i="1" s="1"/>
  <c r="K1512" i="1" a="1"/>
  <c r="K1512" i="1" s="1"/>
  <c r="J1512" i="1" a="1"/>
  <c r="J1512" i="1" s="1"/>
  <c r="H1485" i="1" a="1"/>
  <c r="H1485" i="1" s="1"/>
  <c r="K1483" i="1" a="1"/>
  <c r="K1483" i="1" s="1"/>
  <c r="I1485" i="1" a="1"/>
  <c r="I1485" i="1" s="1"/>
  <c r="K1499" i="1" a="1"/>
  <c r="K1499" i="1" s="1"/>
  <c r="J1499" i="1" a="1"/>
  <c r="J1499" i="1" s="1"/>
  <c r="J1490" i="1" a="1"/>
  <c r="J1490" i="1" s="1"/>
  <c r="I1499" i="1" a="1"/>
  <c r="I1499" i="1" s="1"/>
  <c r="J1492" i="1" a="1"/>
  <c r="J1492" i="1" s="1"/>
  <c r="H1499" i="1" a="1"/>
  <c r="H1499" i="1" s="1"/>
  <c r="F1499" i="1" a="1"/>
  <c r="F1499" i="1" s="1"/>
  <c r="K1498" i="1" a="1"/>
  <c r="K1498" i="1" s="1"/>
  <c r="H1498" i="1" a="1"/>
  <c r="H1498" i="1" s="1"/>
  <c r="I1498" i="1" a="1"/>
  <c r="I1498" i="1" s="1"/>
  <c r="G1498" i="1" a="1"/>
  <c r="G1498" i="1" s="1"/>
  <c r="I1497" i="1" a="1"/>
  <c r="I1497" i="1" s="1"/>
  <c r="I1483" i="1" a="1"/>
  <c r="I1483" i="1" s="1"/>
  <c r="J1497" i="1" a="1"/>
  <c r="J1497" i="1" s="1"/>
  <c r="K1497" i="1" a="1"/>
  <c r="K1497" i="1" s="1"/>
  <c r="J1485" i="1" a="1"/>
  <c r="J1485" i="1" s="1"/>
  <c r="H1497" i="1" a="1"/>
  <c r="H1497" i="1" s="1"/>
  <c r="F1490" i="1" a="1"/>
  <c r="F1490" i="1" s="1"/>
  <c r="G1497" i="1" a="1"/>
  <c r="G1497" i="1" s="1"/>
  <c r="K1485" i="1" a="1"/>
  <c r="K1485" i="1" s="1"/>
  <c r="F1492" i="1" a="1"/>
  <c r="F1492" i="1" s="1"/>
  <c r="J1483" i="1" a="1"/>
  <c r="J1483" i="1" s="1"/>
  <c r="G1483" i="1" a="1"/>
  <c r="G1483" i="1" s="1"/>
  <c r="K1492" i="1" a="1"/>
  <c r="K1492" i="1" s="1"/>
  <c r="I1492" i="1" a="1"/>
  <c r="I1492" i="1" s="1"/>
  <c r="H1490" i="1" a="1"/>
  <c r="H1490" i="1" s="1"/>
  <c r="F1485" i="1" a="1"/>
  <c r="F1485" i="1" s="1"/>
  <c r="H1483" i="1" a="1"/>
  <c r="H1483" i="1" s="1"/>
  <c r="F1483" i="1" a="1"/>
  <c r="F1483" i="1" s="1"/>
  <c r="G1485" i="1" a="1"/>
  <c r="G1485" i="1" s="1"/>
  <c r="H1492" i="1" a="1"/>
  <c r="H1492" i="1" s="1"/>
  <c r="G1492" i="1" a="1"/>
  <c r="G1492" i="1" s="1"/>
  <c r="G1490" i="1" a="1"/>
  <c r="G1490" i="1" s="1"/>
  <c r="G1499" i="1" a="1"/>
  <c r="G1499" i="1" s="1"/>
  <c r="J1498" i="1" a="1"/>
  <c r="J1498" i="1" s="1"/>
  <c r="F1498" i="1" a="1"/>
  <c r="F1498" i="1" s="1"/>
  <c r="F1497" i="1" a="1"/>
  <c r="F1497" i="1" s="1"/>
  <c r="I1490" i="1" a="1"/>
  <c r="I1490" i="1" s="1"/>
  <c r="K1490" i="1" a="1"/>
  <c r="K1490" i="1" s="1"/>
  <c r="K1451" i="1" a="1"/>
  <c r="K1451" i="1" s="1"/>
  <c r="K1454" i="1" a="1"/>
  <c r="K1454" i="1" s="1"/>
  <c r="J1456" i="1" a="1"/>
  <c r="J1456" i="1" s="1"/>
  <c r="H1454" i="1" a="1"/>
  <c r="H1454" i="1" s="1"/>
  <c r="H1455" i="1" a="1"/>
  <c r="H1455" i="1" s="1"/>
  <c r="J1453" i="1" a="1"/>
  <c r="J1453" i="1" s="1"/>
  <c r="H1453" i="1" a="1"/>
  <c r="H1453" i="1" s="1"/>
  <c r="F1452" i="1" a="1"/>
  <c r="F1452" i="1" s="1"/>
  <c r="I1451" i="1" a="1"/>
  <c r="I1451" i="1" s="1"/>
  <c r="K1453" i="1" a="1"/>
  <c r="K1453" i="1" s="1"/>
  <c r="G1453" i="1" a="1"/>
  <c r="G1453" i="1" s="1"/>
  <c r="K1456" i="1" a="1"/>
  <c r="K1456" i="1" s="1"/>
  <c r="J1452" i="1" a="1"/>
  <c r="J1452" i="1" s="1"/>
  <c r="I1456" i="1" a="1"/>
  <c r="I1456" i="1" s="1"/>
  <c r="I1452" i="1" a="1"/>
  <c r="I1452" i="1" s="1"/>
  <c r="G1456" i="1" a="1"/>
  <c r="G1456" i="1" s="1"/>
  <c r="I1454" i="1" a="1"/>
  <c r="I1454" i="1" s="1"/>
  <c r="F1453" i="1" a="1"/>
  <c r="F1453" i="1" s="1"/>
  <c r="H1451" i="1" a="1"/>
  <c r="H1451" i="1" s="1"/>
  <c r="J1454" i="1" a="1"/>
  <c r="J1454" i="1" s="1"/>
  <c r="H1456" i="1" a="1"/>
  <c r="H1456" i="1" s="1"/>
  <c r="G1454" i="1" a="1"/>
  <c r="G1454" i="1" s="1"/>
  <c r="F1454" i="1" a="1"/>
  <c r="F1454" i="1" s="1"/>
  <c r="I1453" i="1" a="1"/>
  <c r="I1453" i="1" s="1"/>
  <c r="H1452" i="1" a="1"/>
  <c r="H1452" i="1" s="1"/>
  <c r="I1455" i="1" a="1"/>
  <c r="I1455" i="1" s="1"/>
  <c r="J1455" i="1" a="1"/>
  <c r="J1455" i="1" s="1"/>
  <c r="K1452" i="1" a="1"/>
  <c r="K1452" i="1" s="1"/>
  <c r="J1451" i="1" a="1"/>
  <c r="J1451" i="1" s="1"/>
  <c r="G1451" i="1" a="1"/>
  <c r="G1451" i="1" s="1"/>
  <c r="G1455" i="1" a="1"/>
  <c r="G1455" i="1" s="1"/>
  <c r="G1452" i="1" a="1"/>
  <c r="G1452" i="1" s="1"/>
  <c r="F1455" i="1" a="1"/>
  <c r="F1455" i="1" s="1"/>
  <c r="F1456" i="1" a="1"/>
  <c r="F1456" i="1" s="1"/>
  <c r="K1455" i="1" a="1"/>
  <c r="K1455" i="1" s="1"/>
  <c r="K1445" i="1" a="1"/>
  <c r="K1445" i="1" s="1"/>
  <c r="I1440" i="1" a="1"/>
  <c r="I1440" i="1" s="1"/>
  <c r="K1444" i="1" a="1"/>
  <c r="K1444" i="1" s="1"/>
  <c r="I1450" i="1" a="1"/>
  <c r="I1450" i="1" s="1"/>
  <c r="G1449" i="1" a="1"/>
  <c r="G1449" i="1" s="1"/>
  <c r="H1444" i="1" a="1"/>
  <c r="H1444" i="1" s="1"/>
  <c r="F1448" i="1" a="1"/>
  <c r="F1448" i="1" s="1"/>
  <c r="G1447" i="1" a="1"/>
  <c r="G1447" i="1" s="1"/>
  <c r="K1443" i="1" a="1"/>
  <c r="K1443" i="1" s="1"/>
  <c r="H1442" i="1" a="1"/>
  <c r="H1442" i="1" s="1"/>
  <c r="I1441" i="1" a="1"/>
  <c r="I1441" i="1" s="1"/>
  <c r="G1446" i="1" a="1"/>
  <c r="G1446" i="1" s="1"/>
  <c r="G1442" i="1" a="1"/>
  <c r="G1442" i="1" s="1"/>
  <c r="G1450" i="1" a="1"/>
  <c r="G1450" i="1" s="1"/>
  <c r="I1449" i="1" a="1"/>
  <c r="I1449" i="1" s="1"/>
  <c r="F1446" i="1" a="1"/>
  <c r="F1446" i="1" s="1"/>
  <c r="F1449" i="1" a="1"/>
  <c r="F1449" i="1" s="1"/>
  <c r="G1448" i="1" a="1"/>
  <c r="G1448" i="1" s="1"/>
  <c r="I1447" i="1" a="1"/>
  <c r="I1447" i="1" s="1"/>
  <c r="K1446" i="1" a="1"/>
  <c r="K1446" i="1" s="1"/>
  <c r="F1445" i="1" a="1"/>
  <c r="F1445" i="1" s="1"/>
  <c r="J1443" i="1" a="1"/>
  <c r="J1443" i="1" s="1"/>
  <c r="H1443" i="1" a="1"/>
  <c r="H1443" i="1" s="1"/>
  <c r="J1442" i="1" a="1"/>
  <c r="J1442" i="1" s="1"/>
  <c r="J1449" i="1" a="1"/>
  <c r="J1449" i="1" s="1"/>
  <c r="G1443" i="1" a="1"/>
  <c r="G1443" i="1" s="1"/>
  <c r="F1443" i="1" a="1"/>
  <c r="F1443" i="1" s="1"/>
  <c r="H1449" i="1" a="1"/>
  <c r="H1449" i="1" s="1"/>
  <c r="I1442" i="1" a="1"/>
  <c r="I1442" i="1" s="1"/>
  <c r="F1450" i="1" a="1"/>
  <c r="F1450" i="1" s="1"/>
  <c r="F1451" i="1" a="1"/>
  <c r="F1451" i="1" s="1"/>
  <c r="J1450" i="1" a="1"/>
  <c r="J1450" i="1" s="1"/>
  <c r="K1450" i="1" a="1"/>
  <c r="K1450" i="1" s="1"/>
  <c r="H1450" i="1" a="1"/>
  <c r="H1450" i="1" s="1"/>
  <c r="K1449" i="1" a="1"/>
  <c r="K1449" i="1" s="1"/>
  <c r="I1448" i="1" a="1"/>
  <c r="I1448" i="1" s="1"/>
  <c r="K1447" i="1" a="1"/>
  <c r="K1447" i="1" s="1"/>
  <c r="F1442" i="1" a="1"/>
  <c r="F1442" i="1" s="1"/>
  <c r="F1441" i="1" a="1"/>
  <c r="F1441" i="1" s="1"/>
  <c r="J1447" i="1" a="1"/>
  <c r="J1447" i="1" s="1"/>
  <c r="J1446" i="1" a="1"/>
  <c r="J1446" i="1" s="1"/>
  <c r="J1445" i="1" a="1"/>
  <c r="J1445" i="1" s="1"/>
  <c r="I1445" i="1" a="1"/>
  <c r="I1445" i="1" s="1"/>
  <c r="K1441" i="1" a="1"/>
  <c r="K1441" i="1" s="1"/>
  <c r="J1440" i="1" a="1"/>
  <c r="J1440" i="1" s="1"/>
  <c r="J1441" i="1" a="1"/>
  <c r="J1441" i="1" s="1"/>
  <c r="K1440" i="1" a="1"/>
  <c r="K1440" i="1" s="1"/>
  <c r="G1444" i="1" a="1"/>
  <c r="G1444" i="1" s="1"/>
  <c r="G1445" i="1" a="1"/>
  <c r="G1445" i="1" s="1"/>
  <c r="K1442" i="1" a="1"/>
  <c r="K1442" i="1" s="1"/>
  <c r="F1444" i="1" a="1"/>
  <c r="F1444" i="1" s="1"/>
  <c r="I1446" i="1" a="1"/>
  <c r="I1446" i="1" s="1"/>
  <c r="H1441" i="1" a="1"/>
  <c r="H1441" i="1" s="1"/>
  <c r="I1444" i="1" a="1"/>
  <c r="I1444" i="1" s="1"/>
  <c r="J1448" i="1" a="1"/>
  <c r="J1448" i="1" s="1"/>
  <c r="K1448" i="1" a="1"/>
  <c r="K1448" i="1" s="1"/>
  <c r="H1447" i="1" a="1"/>
  <c r="H1447" i="1" s="1"/>
  <c r="H1446" i="1" a="1"/>
  <c r="H1446" i="1" s="1"/>
  <c r="H1445" i="1" a="1"/>
  <c r="H1445" i="1" s="1"/>
  <c r="J1444" i="1" a="1"/>
  <c r="J1444" i="1" s="1"/>
  <c r="G1441" i="1" a="1"/>
  <c r="G1441" i="1" s="1"/>
  <c r="H1448" i="1" a="1"/>
  <c r="H1448" i="1" s="1"/>
  <c r="F1447" i="1" a="1"/>
  <c r="F1447" i="1" s="1"/>
  <c r="I1443" i="1" a="1"/>
  <c r="I1443" i="1" s="1"/>
  <c r="F1431" i="1" a="1"/>
  <c r="F1431" i="1" s="1"/>
  <c r="F1439" i="1" a="1"/>
  <c r="F1439" i="1" s="1"/>
  <c r="G1440" i="1" a="1"/>
  <c r="G1440" i="1" s="1"/>
  <c r="F1440" i="1" a="1"/>
  <c r="F1440" i="1" s="1"/>
  <c r="H1439" i="1" a="1"/>
  <c r="H1439" i="1" s="1"/>
  <c r="G1438" i="1" a="1"/>
  <c r="G1438" i="1" s="1"/>
  <c r="F1436" i="1" a="1"/>
  <c r="F1436" i="1" s="1"/>
  <c r="F1434" i="1" a="1"/>
  <c r="F1434" i="1" s="1"/>
  <c r="K1430" i="1" a="1"/>
  <c r="K1430" i="1" s="1"/>
  <c r="H1430" i="1" a="1"/>
  <c r="H1430" i="1" s="1"/>
  <c r="I1431" i="1" a="1"/>
  <c r="I1431" i="1" s="1"/>
  <c r="J1430" i="1" a="1"/>
  <c r="J1430" i="1" s="1"/>
  <c r="H1437" i="1" a="1"/>
  <c r="H1437" i="1" s="1"/>
  <c r="F1435" i="1" a="1"/>
  <c r="F1435" i="1" s="1"/>
  <c r="G1435" i="1" a="1"/>
  <c r="G1435" i="1" s="1"/>
  <c r="G1439" i="1" a="1"/>
  <c r="G1439" i="1" s="1"/>
  <c r="J1437" i="1" a="1"/>
  <c r="J1437" i="1" s="1"/>
  <c r="J1435" i="1" a="1"/>
  <c r="J1435" i="1" s="1"/>
  <c r="I1436" i="1" a="1"/>
  <c r="I1436" i="1" s="1"/>
  <c r="H1436" i="1" a="1"/>
  <c r="H1436" i="1" s="1"/>
  <c r="I1432" i="1" a="1"/>
  <c r="I1432" i="1" s="1"/>
  <c r="J1432" i="1" a="1"/>
  <c r="J1432" i="1" s="1"/>
  <c r="G1432" i="1" a="1"/>
  <c r="G1432" i="1" s="1"/>
  <c r="K1436" i="1" a="1"/>
  <c r="K1436" i="1" s="1"/>
  <c r="I1435" i="1" a="1"/>
  <c r="I1435" i="1" s="1"/>
  <c r="F1432" i="1" a="1"/>
  <c r="F1432" i="1" s="1"/>
  <c r="H1435" i="1" a="1"/>
  <c r="H1435" i="1" s="1"/>
  <c r="K1432" i="1" a="1"/>
  <c r="K1432" i="1" s="1"/>
  <c r="J1434" i="1" a="1"/>
  <c r="J1434" i="1" s="1"/>
  <c r="J1439" i="1" a="1"/>
  <c r="J1439" i="1" s="1"/>
  <c r="I1438" i="1" a="1"/>
  <c r="I1438" i="1" s="1"/>
  <c r="J1431" i="1" a="1"/>
  <c r="J1431" i="1" s="1"/>
  <c r="H1438" i="1" a="1"/>
  <c r="H1438" i="1" s="1"/>
  <c r="K1431" i="1" a="1"/>
  <c r="K1431" i="1" s="1"/>
  <c r="I1430" i="1" a="1"/>
  <c r="I1430" i="1" s="1"/>
  <c r="K1437" i="1" a="1"/>
  <c r="K1437" i="1" s="1"/>
  <c r="K1434" i="1" a="1"/>
  <c r="K1434" i="1" s="1"/>
  <c r="G1437" i="1" a="1"/>
  <c r="G1437" i="1" s="1"/>
  <c r="G1436" i="1" a="1"/>
  <c r="G1436" i="1" s="1"/>
  <c r="H1431" i="1" a="1"/>
  <c r="H1431" i="1" s="1"/>
  <c r="G1431" i="1" a="1"/>
  <c r="G1431" i="1" s="1"/>
  <c r="K1439" i="1" a="1"/>
  <c r="K1439" i="1" s="1"/>
  <c r="H1432" i="1" a="1"/>
  <c r="H1432" i="1" s="1"/>
  <c r="J1438" i="1" a="1"/>
  <c r="J1438" i="1" s="1"/>
  <c r="H1434" i="1" a="1"/>
  <c r="H1434" i="1" s="1"/>
  <c r="K1438" i="1" a="1"/>
  <c r="K1438" i="1" s="1"/>
  <c r="J1436" i="1" a="1"/>
  <c r="J1436" i="1" s="1"/>
  <c r="I1434" i="1" a="1"/>
  <c r="I1434" i="1" s="1"/>
  <c r="K1435" i="1" a="1"/>
  <c r="K1435" i="1" s="1"/>
  <c r="F1438" i="1" a="1"/>
  <c r="F1438" i="1" s="1"/>
  <c r="G1434" i="1" a="1"/>
  <c r="G1434" i="1" s="1"/>
  <c r="G1430" i="1" a="1"/>
  <c r="G1430" i="1" s="1"/>
  <c r="H1440" i="1" a="1"/>
  <c r="H1440" i="1" s="1"/>
  <c r="I1437" i="1" a="1"/>
  <c r="I1437" i="1" s="1"/>
  <c r="I1439" i="1" a="1"/>
  <c r="I1439" i="1" s="1"/>
  <c r="F1437" i="1" a="1"/>
  <c r="F1437" i="1" s="1"/>
  <c r="G1418" i="1" a="1"/>
  <c r="G1418" i="1" s="1"/>
  <c r="F1429" i="1" a="1"/>
  <c r="F1429" i="1" s="1"/>
  <c r="H1428" i="1" a="1"/>
  <c r="H1428" i="1" s="1"/>
  <c r="H1418" i="1" a="1"/>
  <c r="H1418" i="1" s="1"/>
  <c r="K1428" i="1" a="1"/>
  <c r="K1428" i="1" s="1"/>
  <c r="I1428" i="1" a="1"/>
  <c r="I1428" i="1" s="1"/>
  <c r="F1421" i="1" a="1"/>
  <c r="F1421" i="1" s="1"/>
  <c r="H1419" i="1" a="1"/>
  <c r="H1419" i="1" s="1"/>
  <c r="G1419" i="1" a="1"/>
  <c r="G1419" i="1" s="1"/>
  <c r="F1419" i="1" a="1"/>
  <c r="F1419" i="1" s="1"/>
  <c r="J1420" i="1" a="1"/>
  <c r="J1420" i="1" s="1"/>
  <c r="J1428" i="1" a="1"/>
  <c r="J1428" i="1" s="1"/>
  <c r="H1429" i="1" a="1"/>
  <c r="H1429" i="1" s="1"/>
  <c r="G1429" i="1" a="1"/>
  <c r="G1429" i="1" s="1"/>
  <c r="G1428" i="1" a="1"/>
  <c r="G1428" i="1" s="1"/>
  <c r="F1428" i="1" a="1"/>
  <c r="F1428" i="1" s="1"/>
  <c r="J1419" i="1" a="1"/>
  <c r="J1419" i="1" s="1"/>
  <c r="K1418" i="1" a="1"/>
  <c r="K1418" i="1" s="1"/>
  <c r="H1421" i="1" a="1"/>
  <c r="H1421" i="1" s="1"/>
  <c r="F1420" i="1" a="1"/>
  <c r="F1420" i="1" s="1"/>
  <c r="K1419" i="1" a="1"/>
  <c r="K1419" i="1" s="1"/>
  <c r="K1421" i="1" a="1"/>
  <c r="K1421" i="1" s="1"/>
  <c r="I1419" i="1" a="1"/>
  <c r="I1419" i="1" s="1"/>
  <c r="I1418" i="1" a="1"/>
  <c r="I1418" i="1" s="1"/>
  <c r="I1422" i="1" a="1"/>
  <c r="I1422" i="1" s="1"/>
  <c r="K1422" i="1" a="1"/>
  <c r="K1422" i="1" s="1"/>
  <c r="G1421" i="1" a="1"/>
  <c r="G1421" i="1" s="1"/>
  <c r="I1420" i="1" a="1"/>
  <c r="I1420" i="1" s="1"/>
  <c r="H1420" i="1" a="1"/>
  <c r="H1420" i="1" s="1"/>
  <c r="F1418" i="1" a="1"/>
  <c r="F1418" i="1" s="1"/>
  <c r="G1422" i="1" a="1"/>
  <c r="G1422" i="1" s="1"/>
  <c r="K1420" i="1" a="1"/>
  <c r="K1420" i="1" s="1"/>
  <c r="J1418" i="1" a="1"/>
  <c r="J1418" i="1" s="1"/>
  <c r="H1422" i="1" a="1"/>
  <c r="H1422" i="1" s="1"/>
  <c r="J1429" i="1" a="1"/>
  <c r="J1429" i="1" s="1"/>
  <c r="J1421" i="1" a="1"/>
  <c r="J1421" i="1" s="1"/>
  <c r="F1430" i="1" a="1"/>
  <c r="F1430" i="1" s="1"/>
  <c r="K1429" i="1" a="1"/>
  <c r="K1429" i="1" s="1"/>
  <c r="I1429" i="1" a="1"/>
  <c r="I1429" i="1" s="1"/>
  <c r="J1422" i="1" a="1"/>
  <c r="J1422" i="1" s="1"/>
  <c r="F1422" i="1" a="1"/>
  <c r="F1422" i="1" s="1"/>
  <c r="I1421" i="1" a="1"/>
  <c r="I1421" i="1" s="1"/>
  <c r="G1420" i="1" a="1"/>
  <c r="G1420" i="1" s="1"/>
  <c r="K1405" i="1" a="1"/>
  <c r="K1405" i="1" s="1"/>
  <c r="J1405" i="1" a="1"/>
  <c r="J1405" i="1" s="1"/>
  <c r="I1405" i="1" a="1"/>
  <c r="I1405" i="1" s="1"/>
  <c r="K1417" i="1" a="1"/>
  <c r="K1417" i="1" s="1"/>
  <c r="G1405" i="1" a="1"/>
  <c r="G1405" i="1" s="1"/>
  <c r="J1417" i="1" a="1"/>
  <c r="J1417" i="1" s="1"/>
  <c r="I1407" i="1" a="1"/>
  <c r="I1407" i="1" s="1"/>
  <c r="I1417" i="1" a="1"/>
  <c r="I1417" i="1" s="1"/>
  <c r="H1416" i="1" a="1"/>
  <c r="H1416" i="1" s="1"/>
  <c r="H1415" i="1" a="1"/>
  <c r="H1415" i="1" s="1"/>
  <c r="F1417" i="1" a="1"/>
  <c r="F1417" i="1" s="1"/>
  <c r="J1406" i="1" a="1"/>
  <c r="J1406" i="1" s="1"/>
  <c r="H1417" i="1" a="1"/>
  <c r="H1417" i="1" s="1"/>
  <c r="G1417" i="1" a="1"/>
  <c r="G1417" i="1" s="1"/>
  <c r="I1406" i="1" a="1"/>
  <c r="I1406" i="1" s="1"/>
  <c r="G1408" i="1" a="1"/>
  <c r="G1408" i="1" s="1"/>
  <c r="K1416" i="1" a="1"/>
  <c r="K1416" i="1" s="1"/>
  <c r="J1416" i="1" a="1"/>
  <c r="J1416" i="1" s="1"/>
  <c r="F1408" i="1" a="1"/>
  <c r="F1408" i="1" s="1"/>
  <c r="I1416" i="1" a="1"/>
  <c r="I1416" i="1" s="1"/>
  <c r="H1406" i="1" a="1"/>
  <c r="H1406" i="1" s="1"/>
  <c r="G1416" i="1" a="1"/>
  <c r="G1416" i="1" s="1"/>
  <c r="K1415" i="1" a="1"/>
  <c r="K1415" i="1" s="1"/>
  <c r="J1415" i="1" a="1"/>
  <c r="J1415" i="1" s="1"/>
  <c r="J1414" i="1" a="1"/>
  <c r="J1414" i="1" s="1"/>
  <c r="J1407" i="1" a="1"/>
  <c r="J1407" i="1" s="1"/>
  <c r="H1414" i="1" a="1"/>
  <c r="H1414" i="1" s="1"/>
  <c r="K1407" i="1" a="1"/>
  <c r="K1407" i="1" s="1"/>
  <c r="G1414" i="1" a="1"/>
  <c r="G1414" i="1" s="1"/>
  <c r="K1408" i="1" a="1"/>
  <c r="K1408" i="1" s="1"/>
  <c r="F1414" i="1" a="1"/>
  <c r="F1414" i="1" s="1"/>
  <c r="H1405" i="1" a="1"/>
  <c r="H1405" i="1" s="1"/>
  <c r="H1407" i="1" a="1"/>
  <c r="H1407" i="1" s="1"/>
  <c r="G1407" i="1" a="1"/>
  <c r="G1407" i="1" s="1"/>
  <c r="J1408" i="1" a="1"/>
  <c r="J1408" i="1" s="1"/>
  <c r="K1406" i="1" a="1"/>
  <c r="K1406" i="1" s="1"/>
  <c r="G1406" i="1" a="1"/>
  <c r="G1406" i="1" s="1"/>
  <c r="H1408" i="1" a="1"/>
  <c r="H1408" i="1" s="1"/>
  <c r="F1416" i="1" a="1"/>
  <c r="F1416" i="1" s="1"/>
  <c r="I1415" i="1" a="1"/>
  <c r="I1415" i="1" s="1"/>
  <c r="F1407" i="1" a="1"/>
  <c r="F1407" i="1" s="1"/>
  <c r="F1415" i="1" a="1"/>
  <c r="F1415" i="1" s="1"/>
  <c r="G1415" i="1" a="1"/>
  <c r="G1415" i="1" s="1"/>
  <c r="K1414" i="1" a="1"/>
  <c r="K1414" i="1" s="1"/>
  <c r="F1406" i="1" a="1"/>
  <c r="F1406" i="1" s="1"/>
  <c r="I1414" i="1" a="1"/>
  <c r="I1414" i="1" s="1"/>
  <c r="I1408" i="1" a="1"/>
  <c r="I1408" i="1" s="1"/>
  <c r="F1405" i="1" a="1"/>
  <c r="F1405" i="1" s="1"/>
  <c r="H1401" i="1" a="1"/>
  <c r="H1401" i="1" s="1"/>
  <c r="I1399" i="1" a="1"/>
  <c r="I1399" i="1" s="1"/>
  <c r="G1403" i="1" a="1"/>
  <c r="G1403" i="1" s="1"/>
  <c r="G1399" i="1" a="1"/>
  <c r="G1399" i="1" s="1"/>
  <c r="H1399" i="1" a="1"/>
  <c r="H1399" i="1" s="1"/>
  <c r="J1402" i="1" a="1"/>
  <c r="J1402" i="1" s="1"/>
  <c r="I1402" i="1" a="1"/>
  <c r="I1402" i="1" s="1"/>
  <c r="H1402" i="1" a="1"/>
  <c r="H1402" i="1" s="1"/>
  <c r="K1401" i="1" a="1"/>
  <c r="K1401" i="1" s="1"/>
  <c r="J1401" i="1" a="1"/>
  <c r="J1401" i="1" s="1"/>
  <c r="J1400" i="1" a="1"/>
  <c r="J1400" i="1" s="1"/>
  <c r="I1400" i="1" a="1"/>
  <c r="I1400" i="1" s="1"/>
  <c r="G1402" i="1" a="1"/>
  <c r="G1402" i="1" s="1"/>
  <c r="K1403" i="1" a="1"/>
  <c r="K1403" i="1" s="1"/>
  <c r="J1403" i="1" a="1"/>
  <c r="J1403" i="1" s="1"/>
  <c r="I1403" i="1" a="1"/>
  <c r="I1403" i="1" s="1"/>
  <c r="H1403" i="1" a="1"/>
  <c r="H1403" i="1" s="1"/>
  <c r="F1403" i="1" a="1"/>
  <c r="F1403" i="1" s="1"/>
  <c r="K1402" i="1" a="1"/>
  <c r="K1402" i="1" s="1"/>
  <c r="F1402" i="1" a="1"/>
  <c r="F1402" i="1" s="1"/>
  <c r="I1401" i="1" a="1"/>
  <c r="I1401" i="1" s="1"/>
  <c r="G1401" i="1" a="1"/>
  <c r="G1401" i="1" s="1"/>
  <c r="G1400" i="1" a="1"/>
  <c r="G1400" i="1" s="1"/>
  <c r="H1400" i="1" a="1"/>
  <c r="H1400" i="1" s="1"/>
  <c r="F1400" i="1" a="1"/>
  <c r="F1400" i="1" s="1"/>
  <c r="K1400" i="1" a="1"/>
  <c r="K1400" i="1" s="1"/>
  <c r="F1401" i="1" a="1"/>
  <c r="F1401" i="1" s="1"/>
  <c r="K1399" i="1" a="1"/>
  <c r="K1399" i="1" s="1"/>
  <c r="J1399" i="1" a="1"/>
  <c r="J1399" i="1" s="1"/>
  <c r="F1399" i="1" a="1"/>
  <c r="F1399" i="1" s="1"/>
  <c r="K1369" i="1" a="1"/>
  <c r="K1369" i="1" s="1"/>
  <c r="F1365" i="1" a="1"/>
  <c r="F1365" i="1" s="1"/>
  <c r="K1366" i="1" a="1"/>
  <c r="K1366" i="1" s="1"/>
  <c r="K1367" i="1" a="1"/>
  <c r="K1367" i="1" s="1"/>
  <c r="J1365" i="1" a="1"/>
  <c r="J1365" i="1" s="1"/>
  <c r="G1364" i="1" a="1"/>
  <c r="G1364" i="1" s="1"/>
  <c r="J1364" i="1" a="1"/>
  <c r="J1364" i="1" s="1"/>
  <c r="H1364" i="1" a="1"/>
  <c r="H1364" i="1" s="1"/>
  <c r="I1369" i="1" a="1"/>
  <c r="I1369" i="1" s="1"/>
  <c r="G1367" i="1" a="1"/>
  <c r="G1367" i="1" s="1"/>
  <c r="I1366" i="1" a="1"/>
  <c r="I1366" i="1" s="1"/>
  <c r="J1370" i="1" a="1"/>
  <c r="J1370" i="1" s="1"/>
  <c r="H1365" i="1" a="1"/>
  <c r="H1365" i="1" s="1"/>
  <c r="H1369" i="1" a="1"/>
  <c r="H1369" i="1" s="1"/>
  <c r="G1365" i="1" a="1"/>
  <c r="G1365" i="1" s="1"/>
  <c r="J1369" i="1" a="1"/>
  <c r="J1369" i="1" s="1"/>
  <c r="F1370" i="1" a="1"/>
  <c r="F1370" i="1" s="1"/>
  <c r="G1369" i="1" a="1"/>
  <c r="G1369" i="1" s="1"/>
  <c r="I1364" i="1" a="1"/>
  <c r="I1364" i="1" s="1"/>
  <c r="J1368" i="1" a="1"/>
  <c r="J1368" i="1" s="1"/>
  <c r="H1368" i="1" a="1"/>
  <c r="H1368" i="1" s="1"/>
  <c r="H1367" i="1" a="1"/>
  <c r="H1367" i="1" s="1"/>
  <c r="G1366" i="1" a="1"/>
  <c r="G1366" i="1" s="1"/>
  <c r="F1366" i="1" a="1"/>
  <c r="F1366" i="1" s="1"/>
  <c r="I1372" i="1" a="1"/>
  <c r="I1372" i="1" s="1"/>
  <c r="K1371" i="1" a="1"/>
  <c r="K1371" i="1" s="1"/>
  <c r="J1371" i="1" a="1"/>
  <c r="J1371" i="1" s="1"/>
  <c r="K1363" i="1" a="1"/>
  <c r="K1363" i="1" s="1"/>
  <c r="F1369" i="1" a="1"/>
  <c r="F1369" i="1" s="1"/>
  <c r="K1368" i="1" a="1"/>
  <c r="K1368" i="1" s="1"/>
  <c r="K1364" i="1" a="1"/>
  <c r="K1364" i="1" s="1"/>
  <c r="J1366" i="1" a="1"/>
  <c r="J1366" i="1" s="1"/>
  <c r="I1367" i="1" a="1"/>
  <c r="I1367" i="1" s="1"/>
  <c r="I1370" i="1" a="1"/>
  <c r="I1370" i="1" s="1"/>
  <c r="K1365" i="1" a="1"/>
  <c r="K1365" i="1" s="1"/>
  <c r="J1367" i="1" a="1"/>
  <c r="J1367" i="1" s="1"/>
  <c r="F1368" i="1" a="1"/>
  <c r="F1368" i="1" s="1"/>
  <c r="G1372" i="1" a="1"/>
  <c r="G1372" i="1" s="1"/>
  <c r="F1371" i="1" a="1"/>
  <c r="F1371" i="1" s="1"/>
  <c r="F1364" i="1" a="1"/>
  <c r="F1364" i="1" s="1"/>
  <c r="I1368" i="1" a="1"/>
  <c r="I1368" i="1" s="1"/>
  <c r="G1368" i="1" a="1"/>
  <c r="G1368" i="1" s="1"/>
  <c r="K1372" i="1" a="1"/>
  <c r="K1372" i="1" s="1"/>
  <c r="I1365" i="1" a="1"/>
  <c r="I1365" i="1" s="1"/>
  <c r="F1367" i="1" a="1"/>
  <c r="F1367" i="1" s="1"/>
  <c r="G1371" i="1" a="1"/>
  <c r="G1371" i="1" s="1"/>
  <c r="H1366" i="1" a="1"/>
  <c r="H1366" i="1" s="1"/>
  <c r="J1372" i="1" a="1"/>
  <c r="J1372" i="1" s="1"/>
  <c r="H1372" i="1" a="1"/>
  <c r="H1372" i="1" s="1"/>
  <c r="G1370" i="1" a="1"/>
  <c r="G1370" i="1" s="1"/>
  <c r="F1372" i="1" a="1"/>
  <c r="F1372" i="1" s="1"/>
  <c r="I1371" i="1" a="1"/>
  <c r="I1371" i="1" s="1"/>
  <c r="H1371" i="1" a="1"/>
  <c r="H1371" i="1" s="1"/>
  <c r="K1370" i="1" a="1"/>
  <c r="K1370" i="1" s="1"/>
  <c r="H1370" i="1" a="1"/>
  <c r="H1370" i="1" s="1"/>
  <c r="K1353" i="1" a="1"/>
  <c r="K1353" i="1" s="1"/>
  <c r="K1362" i="1" a="1"/>
  <c r="K1362" i="1" s="1"/>
  <c r="J1362" i="1" a="1"/>
  <c r="J1362" i="1" s="1"/>
  <c r="K1356" i="1" a="1"/>
  <c r="K1356" i="1" s="1"/>
  <c r="I1362" i="1" a="1"/>
  <c r="I1362" i="1" s="1"/>
  <c r="G1362" i="1" a="1"/>
  <c r="G1362" i="1" s="1"/>
  <c r="J1353" i="1" a="1"/>
  <c r="J1353" i="1" s="1"/>
  <c r="J1361" i="1" a="1"/>
  <c r="J1361" i="1" s="1"/>
  <c r="K1355" i="1" a="1"/>
  <c r="K1355" i="1" s="1"/>
  <c r="F1360" i="1" a="1"/>
  <c r="F1360" i="1" s="1"/>
  <c r="F1359" i="1" a="1"/>
  <c r="F1359" i="1" s="1"/>
  <c r="H1357" i="1" a="1"/>
  <c r="H1357" i="1" s="1"/>
  <c r="I1354" i="1" a="1"/>
  <c r="I1354" i="1" s="1"/>
  <c r="F1356" i="1" a="1"/>
  <c r="F1356" i="1" s="1"/>
  <c r="I1361" i="1" a="1"/>
  <c r="I1361" i="1" s="1"/>
  <c r="G1361" i="1" a="1"/>
  <c r="G1361" i="1" s="1"/>
  <c r="H1358" i="1" a="1"/>
  <c r="H1358" i="1" s="1"/>
  <c r="G1359" i="1" a="1"/>
  <c r="G1359" i="1" s="1"/>
  <c r="G1358" i="1" a="1"/>
  <c r="G1358" i="1" s="1"/>
  <c r="F1357" i="1" a="1"/>
  <c r="F1357" i="1" s="1"/>
  <c r="I1357" i="1" a="1"/>
  <c r="I1357" i="1" s="1"/>
  <c r="J1354" i="1" a="1"/>
  <c r="J1354" i="1" s="1"/>
  <c r="H1354" i="1" a="1"/>
  <c r="H1354" i="1" s="1"/>
  <c r="J1358" i="1" a="1"/>
  <c r="J1358" i="1" s="1"/>
  <c r="G1356" i="1" a="1"/>
  <c r="G1356" i="1" s="1"/>
  <c r="F1355" i="1" a="1"/>
  <c r="F1355" i="1" s="1"/>
  <c r="J1356" i="1" a="1"/>
  <c r="J1356" i="1" s="1"/>
  <c r="I1355" i="1" a="1"/>
  <c r="I1355" i="1" s="1"/>
  <c r="F1358" i="1" a="1"/>
  <c r="F1358" i="1" s="1"/>
  <c r="F1362" i="1" a="1"/>
  <c r="F1362" i="1" s="1"/>
  <c r="H1363" i="1" a="1"/>
  <c r="H1363" i="1" s="1"/>
  <c r="F1363" i="1" a="1"/>
  <c r="F1363" i="1" s="1"/>
  <c r="H1359" i="1" a="1"/>
  <c r="H1359" i="1" s="1"/>
  <c r="J1355" i="1" a="1"/>
  <c r="J1355" i="1" s="1"/>
  <c r="G1354" i="1" a="1"/>
  <c r="G1354" i="1" s="1"/>
  <c r="G1363" i="1" a="1"/>
  <c r="G1363" i="1" s="1"/>
  <c r="H1353" i="1" a="1"/>
  <c r="H1353" i="1" s="1"/>
  <c r="G1360" i="1" a="1"/>
  <c r="G1360" i="1" s="1"/>
  <c r="H1362" i="1" a="1"/>
  <c r="H1362" i="1" s="1"/>
  <c r="I1359" i="1" a="1"/>
  <c r="I1359" i="1" s="1"/>
  <c r="K1360" i="1" a="1"/>
  <c r="K1360" i="1" s="1"/>
  <c r="J1360" i="1" a="1"/>
  <c r="J1360" i="1" s="1"/>
  <c r="K1359" i="1" a="1"/>
  <c r="K1359" i="1" s="1"/>
  <c r="H1360" i="1" a="1"/>
  <c r="H1360" i="1" s="1"/>
  <c r="J1359" i="1" a="1"/>
  <c r="J1359" i="1" s="1"/>
  <c r="I1358" i="1" a="1"/>
  <c r="I1358" i="1" s="1"/>
  <c r="K1357" i="1" a="1"/>
  <c r="K1357" i="1" s="1"/>
  <c r="G1357" i="1" a="1"/>
  <c r="G1357" i="1" s="1"/>
  <c r="G1353" i="1" a="1"/>
  <c r="G1353" i="1" s="1"/>
  <c r="I1356" i="1" a="1"/>
  <c r="I1356" i="1" s="1"/>
  <c r="F1354" i="1" a="1"/>
  <c r="F1354" i="1" s="1"/>
  <c r="H1355" i="1" a="1"/>
  <c r="H1355" i="1" s="1"/>
  <c r="K1358" i="1" a="1"/>
  <c r="K1358" i="1" s="1"/>
  <c r="F1361" i="1" a="1"/>
  <c r="F1361" i="1" s="1"/>
  <c r="K1361" i="1" a="1"/>
  <c r="K1361" i="1" s="1"/>
  <c r="H1361" i="1" a="1"/>
  <c r="H1361" i="1" s="1"/>
  <c r="J1363" i="1" a="1"/>
  <c r="J1363" i="1" s="1"/>
  <c r="I1363" i="1" a="1"/>
  <c r="I1363" i="1" s="1"/>
  <c r="I1360" i="1" a="1"/>
  <c r="I1360" i="1" s="1"/>
  <c r="J1357" i="1" a="1"/>
  <c r="J1357" i="1" s="1"/>
  <c r="H1356" i="1" a="1"/>
  <c r="H1356" i="1" s="1"/>
  <c r="G1355" i="1" a="1"/>
  <c r="G1355" i="1" s="1"/>
  <c r="I1353" i="1" a="1"/>
  <c r="I1353" i="1" s="1"/>
  <c r="K1354" i="1" a="1"/>
  <c r="K1354" i="1" s="1"/>
  <c r="G1351" i="1" a="1"/>
  <c r="G1351" i="1" s="1"/>
  <c r="H1350" i="1" a="1"/>
  <c r="H1350" i="1" s="1"/>
  <c r="F1347" i="1" a="1"/>
  <c r="F1347" i="1" s="1"/>
  <c r="G1348" i="1" a="1"/>
  <c r="G1348" i="1" s="1"/>
  <c r="G1345" i="1" a="1"/>
  <c r="G1345" i="1" s="1"/>
  <c r="F1345" i="1" a="1"/>
  <c r="F1345" i="1" s="1"/>
  <c r="K1350" i="1" a="1"/>
  <c r="K1350" i="1" s="1"/>
  <c r="J1350" i="1" a="1"/>
  <c r="J1350" i="1" s="1"/>
  <c r="I1350" i="1" a="1"/>
  <c r="I1350" i="1" s="1"/>
  <c r="G1347" i="1" a="1"/>
  <c r="G1347" i="1" s="1"/>
  <c r="H1347" i="1" a="1"/>
  <c r="H1347" i="1" s="1"/>
  <c r="I1348" i="1" a="1"/>
  <c r="I1348" i="1" s="1"/>
  <c r="H1346" i="1" a="1"/>
  <c r="H1346" i="1" s="1"/>
  <c r="K1347" i="1" a="1"/>
  <c r="K1347" i="1" s="1"/>
  <c r="K1346" i="1" a="1"/>
  <c r="K1346" i="1" s="1"/>
  <c r="G1346" i="1" a="1"/>
  <c r="G1346" i="1" s="1"/>
  <c r="J1346" i="1" a="1"/>
  <c r="J1346" i="1" s="1"/>
  <c r="F1353" i="1" a="1"/>
  <c r="F1353" i="1" s="1"/>
  <c r="F1351" i="1" a="1"/>
  <c r="F1351" i="1" s="1"/>
  <c r="I1345" i="1" a="1"/>
  <c r="I1345" i="1" s="1"/>
  <c r="G1350" i="1" a="1"/>
  <c r="G1350" i="1" s="1"/>
  <c r="K1352" i="1" a="1"/>
  <c r="K1352" i="1" s="1"/>
  <c r="H1344" i="1" a="1"/>
  <c r="H1344" i="1" s="1"/>
  <c r="K1345" i="1" a="1"/>
  <c r="K1345" i="1" s="1"/>
  <c r="J1352" i="1" a="1"/>
  <c r="J1352" i="1" s="1"/>
  <c r="J1345" i="1" a="1"/>
  <c r="J1345" i="1" s="1"/>
  <c r="I1352" i="1" a="1"/>
  <c r="I1352" i="1" s="1"/>
  <c r="H1352" i="1" a="1"/>
  <c r="H1352" i="1" s="1"/>
  <c r="G1352" i="1" a="1"/>
  <c r="G1352" i="1" s="1"/>
  <c r="F1350" i="1" a="1"/>
  <c r="F1350" i="1" s="1"/>
  <c r="G1344" i="1" a="1"/>
  <c r="G1344" i="1" s="1"/>
  <c r="H1351" i="1" a="1"/>
  <c r="H1351" i="1" s="1"/>
  <c r="J1347" i="1" a="1"/>
  <c r="J1347" i="1" s="1"/>
  <c r="F1346" i="1" a="1"/>
  <c r="F1346" i="1" s="1"/>
  <c r="J1344" i="1" a="1"/>
  <c r="J1344" i="1" s="1"/>
  <c r="J1348" i="1" a="1"/>
  <c r="J1348" i="1" s="1"/>
  <c r="I1347" i="1" a="1"/>
  <c r="I1347" i="1" s="1"/>
  <c r="I1346" i="1" a="1"/>
  <c r="I1346" i="1" s="1"/>
  <c r="H1345" i="1" a="1"/>
  <c r="H1345" i="1" s="1"/>
  <c r="K1344" i="1" a="1"/>
  <c r="K1344" i="1" s="1"/>
  <c r="I1344" i="1" a="1"/>
  <c r="I1344" i="1" s="1"/>
  <c r="F1344" i="1" a="1"/>
  <c r="F1344" i="1" s="1"/>
  <c r="F1352" i="1" a="1"/>
  <c r="F1352" i="1" s="1"/>
  <c r="K1351" i="1" a="1"/>
  <c r="K1351" i="1" s="1"/>
  <c r="K1348" i="1" a="1"/>
  <c r="K1348" i="1" s="1"/>
  <c r="J1351" i="1" a="1"/>
  <c r="J1351" i="1" s="1"/>
  <c r="I1351" i="1" a="1"/>
  <c r="I1351" i="1" s="1"/>
  <c r="F1348" i="1" a="1"/>
  <c r="F1348" i="1" s="1"/>
  <c r="H1348" i="1" a="1"/>
  <c r="H1348" i="1" s="1"/>
  <c r="G1334" i="1" a="1"/>
  <c r="G1334" i="1" s="1"/>
  <c r="I1337" i="1" a="1"/>
  <c r="I1337" i="1" s="1"/>
  <c r="J1333" i="1" a="1"/>
  <c r="J1333" i="1" s="1"/>
  <c r="I1332" i="1" a="1"/>
  <c r="I1332" i="1" s="1"/>
  <c r="F1332" i="1" a="1"/>
  <c r="F1332" i="1" s="1"/>
  <c r="G1331" i="1" a="1"/>
  <c r="G1331" i="1" s="1"/>
  <c r="I1330" i="1" a="1"/>
  <c r="I1330" i="1" s="1"/>
  <c r="F1331" i="1" a="1"/>
  <c r="F1331" i="1" s="1"/>
  <c r="J1330" i="1" a="1"/>
  <c r="J1330" i="1" s="1"/>
  <c r="H1337" i="1" a="1"/>
  <c r="H1337" i="1" s="1"/>
  <c r="G1333" i="1" a="1"/>
  <c r="G1333" i="1" s="1"/>
  <c r="J1336" i="1" a="1"/>
  <c r="J1336" i="1" s="1"/>
  <c r="G1337" i="1" a="1"/>
  <c r="G1337" i="1" s="1"/>
  <c r="J1334" i="1" a="1"/>
  <c r="J1334" i="1" s="1"/>
  <c r="K1336" i="1" a="1"/>
  <c r="K1336" i="1" s="1"/>
  <c r="K1331" i="1" a="1"/>
  <c r="K1331" i="1" s="1"/>
  <c r="K1332" i="1" a="1"/>
  <c r="K1332" i="1" s="1"/>
  <c r="J1335" i="1" a="1"/>
  <c r="J1335" i="1" s="1"/>
  <c r="G1336" i="1" a="1"/>
  <c r="G1336" i="1" s="1"/>
  <c r="I1336" i="1" a="1"/>
  <c r="I1336" i="1" s="1"/>
  <c r="F1336" i="1" a="1"/>
  <c r="F1336" i="1" s="1"/>
  <c r="H1332" i="1" a="1"/>
  <c r="H1332" i="1" s="1"/>
  <c r="F1330" i="1" a="1"/>
  <c r="F1330" i="1" s="1"/>
  <c r="I1335" i="1" a="1"/>
  <c r="I1335" i="1" s="1"/>
  <c r="H1335" i="1" a="1"/>
  <c r="H1335" i="1" s="1"/>
  <c r="K1334" i="1" a="1"/>
  <c r="K1334" i="1" s="1"/>
  <c r="H1331" i="1" a="1"/>
  <c r="H1331" i="1" s="1"/>
  <c r="G1332" i="1" a="1"/>
  <c r="G1332" i="1" s="1"/>
  <c r="I1331" i="1" a="1"/>
  <c r="I1331" i="1" s="1"/>
  <c r="H1336" i="1" a="1"/>
  <c r="H1336" i="1" s="1"/>
  <c r="G1335" i="1" a="1"/>
  <c r="G1335" i="1" s="1"/>
  <c r="J1331" i="1" a="1"/>
  <c r="J1331" i="1" s="1"/>
  <c r="K1333" i="1" a="1"/>
  <c r="K1333" i="1" s="1"/>
  <c r="G1330" i="1" a="1"/>
  <c r="G1330" i="1" s="1"/>
  <c r="I1334" i="1" a="1"/>
  <c r="I1334" i="1" s="1"/>
  <c r="F1334" i="1" a="1"/>
  <c r="F1334" i="1" s="1"/>
  <c r="H1330" i="1" a="1"/>
  <c r="H1330" i="1" s="1"/>
  <c r="F1333" i="1" a="1"/>
  <c r="F1333" i="1" s="1"/>
  <c r="J1332" i="1" a="1"/>
  <c r="J1332" i="1" s="1"/>
  <c r="K1330" i="1" a="1"/>
  <c r="K1330" i="1" s="1"/>
  <c r="H1338" i="1" a="1"/>
  <c r="H1338" i="1" s="1"/>
  <c r="H1333" i="1" a="1"/>
  <c r="H1333" i="1" s="1"/>
  <c r="K1338" i="1" a="1"/>
  <c r="K1338" i="1" s="1"/>
  <c r="J1338" i="1" a="1"/>
  <c r="J1338" i="1" s="1"/>
  <c r="F1338" i="1" a="1"/>
  <c r="F1338" i="1" s="1"/>
  <c r="K1335" i="1" a="1"/>
  <c r="K1335" i="1" s="1"/>
  <c r="H1334" i="1" a="1"/>
  <c r="H1334" i="1" s="1"/>
  <c r="I1333" i="1" a="1"/>
  <c r="I1333" i="1" s="1"/>
  <c r="F1335" i="1" a="1"/>
  <c r="F1335" i="1" s="1"/>
  <c r="I1338" i="1" a="1"/>
  <c r="I1338" i="1" s="1"/>
  <c r="G1338" i="1" a="1"/>
  <c r="G1338" i="1" s="1"/>
  <c r="K1337" i="1" a="1"/>
  <c r="K1337" i="1" s="1"/>
  <c r="J1337" i="1" a="1"/>
  <c r="J1337" i="1" s="1"/>
  <c r="F1337" i="1" a="1"/>
  <c r="F1337" i="1" s="1"/>
  <c r="F1316" i="1" a="1"/>
  <c r="F1316" i="1" s="1"/>
  <c r="G1315" i="1" a="1"/>
  <c r="G1315" i="1" s="1"/>
  <c r="G1321" i="1" a="1"/>
  <c r="G1321" i="1" s="1"/>
  <c r="F1319" i="1" a="1"/>
  <c r="F1319" i="1" s="1"/>
  <c r="G1317" i="1" a="1"/>
  <c r="G1317" i="1" s="1"/>
  <c r="G1323" i="1" a="1"/>
  <c r="G1323" i="1" s="1"/>
  <c r="H1321" i="1" a="1"/>
  <c r="H1321" i="1" s="1"/>
  <c r="K1319" i="1" a="1"/>
  <c r="K1319" i="1" s="1"/>
  <c r="I1318" i="1" a="1"/>
  <c r="I1318" i="1" s="1"/>
  <c r="J1317" i="1" a="1"/>
  <c r="J1317" i="1" s="1"/>
  <c r="I1316" i="1" a="1"/>
  <c r="I1316" i="1" s="1"/>
  <c r="H1316" i="1" a="1"/>
  <c r="H1316" i="1" s="1"/>
  <c r="I1315" i="1" a="1"/>
  <c r="I1315" i="1" s="1"/>
  <c r="F1315" i="1" a="1"/>
  <c r="F1315" i="1" s="1"/>
  <c r="K1324" i="1" a="1"/>
  <c r="K1324" i="1" s="1"/>
  <c r="F1317" i="1" a="1"/>
  <c r="F1317" i="1" s="1"/>
  <c r="G1322" i="1" a="1"/>
  <c r="G1322" i="1" s="1"/>
  <c r="K1317" i="1" a="1"/>
  <c r="K1317" i="1" s="1"/>
  <c r="H1323" i="1" a="1"/>
  <c r="H1323" i="1" s="1"/>
  <c r="I1322" i="1" a="1"/>
  <c r="I1322" i="1" s="1"/>
  <c r="J1324" i="1" a="1"/>
  <c r="J1324" i="1" s="1"/>
  <c r="I1324" i="1" a="1"/>
  <c r="I1324" i="1" s="1"/>
  <c r="H1324" i="1" a="1"/>
  <c r="H1324" i="1" s="1"/>
  <c r="G1324" i="1" a="1"/>
  <c r="G1324" i="1" s="1"/>
  <c r="I1323" i="1" a="1"/>
  <c r="I1323" i="1" s="1"/>
  <c r="H1317" i="1" a="1"/>
  <c r="H1317" i="1" s="1"/>
  <c r="K1318" i="1" a="1"/>
  <c r="K1318" i="1" s="1"/>
  <c r="F1324" i="1" a="1"/>
  <c r="F1324" i="1" s="1"/>
  <c r="K1323" i="1" a="1"/>
  <c r="K1323" i="1" s="1"/>
  <c r="J1323" i="1" a="1"/>
  <c r="J1323" i="1" s="1"/>
  <c r="F1323" i="1" a="1"/>
  <c r="F1323" i="1" s="1"/>
  <c r="H1319" i="1" a="1"/>
  <c r="H1319" i="1" s="1"/>
  <c r="I1317" i="1" a="1"/>
  <c r="I1317" i="1" s="1"/>
  <c r="F1321" i="1" a="1"/>
  <c r="F1321" i="1" s="1"/>
  <c r="K1322" i="1" a="1"/>
  <c r="K1322" i="1" s="1"/>
  <c r="I1321" i="1" a="1"/>
  <c r="I1321" i="1" s="1"/>
  <c r="K1315" i="1" a="1"/>
  <c r="K1315" i="1" s="1"/>
  <c r="J1322" i="1" a="1"/>
  <c r="J1322" i="1" s="1"/>
  <c r="H1322" i="1" a="1"/>
  <c r="H1322" i="1" s="1"/>
  <c r="K1316" i="1" a="1"/>
  <c r="K1316" i="1" s="1"/>
  <c r="F1318" i="1" a="1"/>
  <c r="F1318" i="1" s="1"/>
  <c r="F1322" i="1" a="1"/>
  <c r="F1322" i="1" s="1"/>
  <c r="J1319" i="1" a="1"/>
  <c r="J1319" i="1" s="1"/>
  <c r="K1321" i="1" a="1"/>
  <c r="K1321" i="1" s="1"/>
  <c r="J1321" i="1" a="1"/>
  <c r="J1321" i="1" s="1"/>
  <c r="I1319" i="1" a="1"/>
  <c r="I1319" i="1" s="1"/>
  <c r="G1319" i="1" a="1"/>
  <c r="G1319" i="1" s="1"/>
  <c r="J1318" i="1" a="1"/>
  <c r="J1318" i="1" s="1"/>
  <c r="G1318" i="1" a="1"/>
  <c r="G1318" i="1" s="1"/>
  <c r="H1318" i="1" a="1"/>
  <c r="H1318" i="1" s="1"/>
  <c r="J1316" i="1" a="1"/>
  <c r="J1316" i="1" s="1"/>
  <c r="G1316" i="1" a="1"/>
  <c r="G1316" i="1" s="1"/>
  <c r="J1315" i="1" a="1"/>
  <c r="J1315" i="1" s="1"/>
  <c r="H1315" i="1" a="1"/>
  <c r="H1315" i="1" s="1"/>
  <c r="J1260" i="1" a="1"/>
  <c r="J1260" i="1" s="1"/>
  <c r="J1257" i="1" a="1"/>
  <c r="J1257" i="1" s="1"/>
  <c r="G1258" i="1" a="1"/>
  <c r="G1258" i="1" s="1"/>
  <c r="I1261" i="1" a="1"/>
  <c r="I1261" i="1" s="1"/>
  <c r="F1261" i="1" a="1"/>
  <c r="F1261" i="1" s="1"/>
  <c r="G1260" i="1" a="1"/>
  <c r="G1260" i="1" s="1"/>
  <c r="K1256" i="1" a="1"/>
  <c r="K1256" i="1" s="1"/>
  <c r="G1254" i="1" a="1"/>
  <c r="G1254" i="1" s="1"/>
  <c r="I1255" i="1" a="1"/>
  <c r="I1255" i="1" s="1"/>
  <c r="H1259" i="1" a="1"/>
  <c r="H1259" i="1" s="1"/>
  <c r="I1256" i="1" a="1"/>
  <c r="I1256" i="1" s="1"/>
  <c r="K1261" i="1" a="1"/>
  <c r="K1261" i="1" s="1"/>
  <c r="J1259" i="1" a="1"/>
  <c r="J1259" i="1" s="1"/>
  <c r="J1255" i="1" a="1"/>
  <c r="J1255" i="1" s="1"/>
  <c r="H1255" i="1" a="1"/>
  <c r="H1255" i="1" s="1"/>
  <c r="H1254" i="1" a="1"/>
  <c r="H1254" i="1" s="1"/>
  <c r="I1260" i="1" a="1"/>
  <c r="I1260" i="1" s="1"/>
  <c r="F1257" i="1" a="1"/>
  <c r="F1257" i="1" s="1"/>
  <c r="K1254" i="1" a="1"/>
  <c r="K1254" i="1" s="1"/>
  <c r="F1256" i="1" a="1"/>
  <c r="F1256" i="1" s="1"/>
  <c r="K1255" i="1" a="1"/>
  <c r="K1255" i="1" s="1"/>
  <c r="G1255" i="1" a="1"/>
  <c r="G1255" i="1" s="1"/>
  <c r="K1259" i="1" a="1"/>
  <c r="K1259" i="1" s="1"/>
  <c r="G1259" i="1" a="1"/>
  <c r="G1259" i="1" s="1"/>
  <c r="H1256" i="1" a="1"/>
  <c r="H1256" i="1" s="1"/>
  <c r="I1258" i="1" a="1"/>
  <c r="I1258" i="1" s="1"/>
  <c r="G1256" i="1" a="1"/>
  <c r="G1256" i="1" s="1"/>
  <c r="F1258" i="1" a="1"/>
  <c r="F1258" i="1" s="1"/>
  <c r="G1261" i="1" a="1"/>
  <c r="G1261" i="1" s="1"/>
  <c r="F1260" i="1" a="1"/>
  <c r="F1260" i="1" s="1"/>
  <c r="I1257" i="1" a="1"/>
  <c r="I1257" i="1" s="1"/>
  <c r="J1256" i="1" a="1"/>
  <c r="J1256" i="1" s="1"/>
  <c r="K1260" i="1" a="1"/>
  <c r="K1260" i="1" s="1"/>
  <c r="H1260" i="1" a="1"/>
  <c r="H1260" i="1" s="1"/>
  <c r="F1259" i="1" a="1"/>
  <c r="F1259" i="1" s="1"/>
  <c r="K1257" i="1" a="1"/>
  <c r="K1257" i="1" s="1"/>
  <c r="F1255" i="1" a="1"/>
  <c r="F1255" i="1" s="1"/>
  <c r="J1254" i="1" a="1"/>
  <c r="J1254" i="1" s="1"/>
  <c r="K1258" i="1" a="1"/>
  <c r="K1258" i="1" s="1"/>
  <c r="H1257" i="1" a="1"/>
  <c r="H1257" i="1" s="1"/>
  <c r="J1261" i="1" a="1"/>
  <c r="J1261" i="1" s="1"/>
  <c r="I1259" i="1" a="1"/>
  <c r="I1259" i="1" s="1"/>
  <c r="G1257" i="1" a="1"/>
  <c r="G1257" i="1" s="1"/>
  <c r="H1261" i="1" a="1"/>
  <c r="H1261" i="1" s="1"/>
  <c r="J1258" i="1" a="1"/>
  <c r="J1258" i="1" s="1"/>
  <c r="H1258" i="1" a="1"/>
  <c r="H1258" i="1" s="1"/>
  <c r="I1254" i="1" a="1"/>
  <c r="I1254" i="1" s="1"/>
  <c r="G1250" i="1" a="1"/>
  <c r="G1250" i="1" s="1"/>
  <c r="F1247" i="1" a="1"/>
  <c r="F1247" i="1" s="1"/>
  <c r="H1247" i="1" a="1"/>
  <c r="H1247" i="1" s="1"/>
  <c r="I1253" i="1" a="1"/>
  <c r="I1253" i="1" s="1"/>
  <c r="H1252" i="1" a="1"/>
  <c r="H1252" i="1" s="1"/>
  <c r="G1248" i="1" a="1"/>
  <c r="G1248" i="1" s="1"/>
  <c r="F1251" i="1" a="1"/>
  <c r="F1251" i="1" s="1"/>
  <c r="G1246" i="1" a="1"/>
  <c r="G1246" i="1" s="1"/>
  <c r="F1250" i="1" a="1"/>
  <c r="F1250" i="1" s="1"/>
  <c r="K1249" i="1" a="1"/>
  <c r="K1249" i="1" s="1"/>
  <c r="J1247" i="1" a="1"/>
  <c r="J1247" i="1" s="1"/>
  <c r="I1247" i="1" a="1"/>
  <c r="I1247" i="1" s="1"/>
  <c r="H1245" i="1" a="1"/>
  <c r="H1245" i="1" s="1"/>
  <c r="F1246" i="1" a="1"/>
  <c r="F1246" i="1" s="1"/>
  <c r="F1254" i="1" a="1"/>
  <c r="F1254" i="1" s="1"/>
  <c r="K1253" i="1" a="1"/>
  <c r="K1253" i="1" s="1"/>
  <c r="I1252" i="1" a="1"/>
  <c r="I1252" i="1" s="1"/>
  <c r="I1250" i="1" a="1"/>
  <c r="I1250" i="1" s="1"/>
  <c r="H1246" i="1" a="1"/>
  <c r="H1246" i="1" s="1"/>
  <c r="H1250" i="1" a="1"/>
  <c r="H1250" i="1" s="1"/>
  <c r="I1243" i="1" a="1"/>
  <c r="I1243" i="1" s="1"/>
  <c r="J1244" i="1" a="1"/>
  <c r="J1244" i="1" s="1"/>
  <c r="G1251" i="1" a="1"/>
  <c r="G1251" i="1" s="1"/>
  <c r="K1244" i="1" a="1"/>
  <c r="K1244" i="1" s="1"/>
  <c r="K1251" i="1" a="1"/>
  <c r="K1251" i="1" s="1"/>
  <c r="J1251" i="1" a="1"/>
  <c r="J1251" i="1" s="1"/>
  <c r="J1248" i="1" a="1"/>
  <c r="J1248" i="1" s="1"/>
  <c r="I1246" i="1" a="1"/>
  <c r="I1246" i="1" s="1"/>
  <c r="K1247" i="1" a="1"/>
  <c r="K1247" i="1" s="1"/>
  <c r="I1249" i="1" a="1"/>
  <c r="I1249" i="1" s="1"/>
  <c r="J1253" i="1" a="1"/>
  <c r="J1253" i="1" s="1"/>
  <c r="K1252" i="1" a="1"/>
  <c r="K1252" i="1" s="1"/>
  <c r="F1245" i="1" a="1"/>
  <c r="F1245" i="1" s="1"/>
  <c r="K1248" i="1" a="1"/>
  <c r="K1248" i="1" s="1"/>
  <c r="K1246" i="1" a="1"/>
  <c r="K1246" i="1" s="1"/>
  <c r="G1252" i="1" a="1"/>
  <c r="G1252" i="1" s="1"/>
  <c r="J1245" i="1" a="1"/>
  <c r="J1245" i="1" s="1"/>
  <c r="J1249" i="1" a="1"/>
  <c r="J1249" i="1" s="1"/>
  <c r="F1244" i="1" a="1"/>
  <c r="F1244" i="1" s="1"/>
  <c r="G1245" i="1" a="1"/>
  <c r="G1245" i="1" s="1"/>
  <c r="I1251" i="1" a="1"/>
  <c r="I1251" i="1" s="1"/>
  <c r="G1249" i="1" a="1"/>
  <c r="G1249" i="1" s="1"/>
  <c r="H1244" i="1" a="1"/>
  <c r="H1244" i="1" s="1"/>
  <c r="H1249" i="1" a="1"/>
  <c r="H1249" i="1" s="1"/>
  <c r="J1243" i="1" a="1"/>
  <c r="J1243" i="1" s="1"/>
  <c r="F1248" i="1" a="1"/>
  <c r="F1248" i="1" s="1"/>
  <c r="I1244" i="1" a="1"/>
  <c r="I1244" i="1" s="1"/>
  <c r="I1245" i="1" a="1"/>
  <c r="I1245" i="1" s="1"/>
  <c r="K1243" i="1" a="1"/>
  <c r="K1243" i="1" s="1"/>
  <c r="G1247" i="1" a="1"/>
  <c r="G1247" i="1" s="1"/>
  <c r="J1246" i="1" a="1"/>
  <c r="J1246" i="1" s="1"/>
  <c r="F1249" i="1" a="1"/>
  <c r="F1249" i="1" s="1"/>
  <c r="K1250" i="1" a="1"/>
  <c r="K1250" i="1" s="1"/>
  <c r="H1248" i="1" a="1"/>
  <c r="H1248" i="1" s="1"/>
  <c r="H1253" i="1" a="1"/>
  <c r="H1253" i="1" s="1"/>
  <c r="G1253" i="1" a="1"/>
  <c r="G1253" i="1" s="1"/>
  <c r="F1253" i="1" a="1"/>
  <c r="F1253" i="1" s="1"/>
  <c r="J1252" i="1" a="1"/>
  <c r="J1252" i="1" s="1"/>
  <c r="F1252" i="1" a="1"/>
  <c r="F1252" i="1" s="1"/>
  <c r="I1248" i="1" a="1"/>
  <c r="I1248" i="1" s="1"/>
  <c r="G1244" i="1" a="1"/>
  <c r="G1244" i="1" s="1"/>
  <c r="H1251" i="1" a="1"/>
  <c r="H1251" i="1" s="1"/>
  <c r="K1245" i="1" a="1"/>
  <c r="K1245" i="1" s="1"/>
  <c r="J1250" i="1" a="1"/>
  <c r="J1250" i="1" s="1"/>
  <c r="H1238" i="1" a="1"/>
  <c r="H1238" i="1" s="1"/>
  <c r="K1235" i="1" a="1"/>
  <c r="K1235" i="1" s="1"/>
  <c r="K1232" i="1" a="1"/>
  <c r="K1232" i="1" s="1"/>
  <c r="K1234" i="1" a="1"/>
  <c r="K1234" i="1" s="1"/>
  <c r="J1239" i="1" a="1"/>
  <c r="J1239" i="1" s="1"/>
  <c r="I1237" i="1" a="1"/>
  <c r="I1237" i="1" s="1"/>
  <c r="I1239" i="1" a="1"/>
  <c r="I1239" i="1" s="1"/>
  <c r="G1239" i="1" a="1"/>
  <c r="G1239" i="1" s="1"/>
  <c r="H1237" i="1" a="1"/>
  <c r="H1237" i="1" s="1"/>
  <c r="I1234" i="1" a="1"/>
  <c r="I1234" i="1" s="1"/>
  <c r="F1234" i="1" a="1"/>
  <c r="F1234" i="1" s="1"/>
  <c r="H1234" i="1" a="1"/>
  <c r="H1234" i="1" s="1"/>
  <c r="G1233" i="1" a="1"/>
  <c r="G1233" i="1" s="1"/>
  <c r="F1243" i="1" a="1"/>
  <c r="F1243" i="1" s="1"/>
  <c r="I1236" i="1" a="1"/>
  <c r="I1236" i="1" s="1"/>
  <c r="F1233" i="1" a="1"/>
  <c r="F1233" i="1" s="1"/>
  <c r="G1240" i="1" a="1"/>
  <c r="G1240" i="1" s="1"/>
  <c r="H1243" i="1" a="1"/>
  <c r="H1243" i="1" s="1"/>
  <c r="G1243" i="1" a="1"/>
  <c r="G1243" i="1" s="1"/>
  <c r="F1242" i="1" a="1"/>
  <c r="F1242" i="1" s="1"/>
  <c r="F1238" i="1" a="1"/>
  <c r="F1238" i="1" s="1"/>
  <c r="K1242" i="1" a="1"/>
  <c r="K1242" i="1" s="1"/>
  <c r="K1236" i="1" a="1"/>
  <c r="K1236" i="1" s="1"/>
  <c r="J1237" i="1" a="1"/>
  <c r="J1237" i="1" s="1"/>
  <c r="I1238" i="1" a="1"/>
  <c r="I1238" i="1" s="1"/>
  <c r="J1242" i="1" a="1"/>
  <c r="J1242" i="1" s="1"/>
  <c r="K1241" i="1" a="1"/>
  <c r="K1241" i="1" s="1"/>
  <c r="K1238" i="1" a="1"/>
  <c r="K1238" i="1" s="1"/>
  <c r="J1234" i="1" a="1"/>
  <c r="J1234" i="1" s="1"/>
  <c r="I1242" i="1" a="1"/>
  <c r="I1242" i="1" s="1"/>
  <c r="K1237" i="1" a="1"/>
  <c r="K1237" i="1" s="1"/>
  <c r="H1235" i="1" a="1"/>
  <c r="H1235" i="1" s="1"/>
  <c r="J1235" i="1" a="1"/>
  <c r="J1235" i="1" s="1"/>
  <c r="F1235" i="1" a="1"/>
  <c r="F1235" i="1" s="1"/>
  <c r="H1242" i="1" a="1"/>
  <c r="H1242" i="1" s="1"/>
  <c r="G1242" i="1" a="1"/>
  <c r="G1242" i="1" s="1"/>
  <c r="J1241" i="1" a="1"/>
  <c r="J1241" i="1" s="1"/>
  <c r="J1240" i="1" a="1"/>
  <c r="J1240" i="1" s="1"/>
  <c r="G1234" i="1" a="1"/>
  <c r="G1234" i="1" s="1"/>
  <c r="J1238" i="1" a="1"/>
  <c r="J1238" i="1" s="1"/>
  <c r="I1241" i="1" a="1"/>
  <c r="I1241" i="1" s="1"/>
  <c r="H1241" i="1" a="1"/>
  <c r="H1241" i="1" s="1"/>
  <c r="H1240" i="1" a="1"/>
  <c r="H1240" i="1" s="1"/>
  <c r="H1239" i="1" a="1"/>
  <c r="H1239" i="1" s="1"/>
  <c r="J1233" i="1" a="1"/>
  <c r="J1233" i="1" s="1"/>
  <c r="G1241" i="1" a="1"/>
  <c r="G1241" i="1" s="1"/>
  <c r="F1237" i="1" a="1"/>
  <c r="F1237" i="1" s="1"/>
  <c r="F1241" i="1" a="1"/>
  <c r="F1241" i="1" s="1"/>
  <c r="K1239" i="1" a="1"/>
  <c r="K1239" i="1" s="1"/>
  <c r="F1236" i="1" a="1"/>
  <c r="F1236" i="1" s="1"/>
  <c r="G1238" i="1" a="1"/>
  <c r="G1238" i="1" s="1"/>
  <c r="G1237" i="1" a="1"/>
  <c r="G1237" i="1" s="1"/>
  <c r="J1236" i="1" a="1"/>
  <c r="J1236" i="1" s="1"/>
  <c r="I1233" i="1" a="1"/>
  <c r="I1233" i="1" s="1"/>
  <c r="G1236" i="1" a="1"/>
  <c r="G1236" i="1" s="1"/>
  <c r="I1235" i="1" a="1"/>
  <c r="I1235" i="1" s="1"/>
  <c r="G1235" i="1" a="1"/>
  <c r="G1235" i="1" s="1"/>
  <c r="H1233" i="1" a="1"/>
  <c r="H1233" i="1" s="1"/>
  <c r="K1233" i="1" a="1"/>
  <c r="K1233" i="1" s="1"/>
  <c r="K1240" i="1" a="1"/>
  <c r="K1240" i="1" s="1"/>
  <c r="I1240" i="1" a="1"/>
  <c r="I1240" i="1" s="1"/>
  <c r="F1240" i="1" a="1"/>
  <c r="F1240" i="1" s="1"/>
  <c r="F1239" i="1" a="1"/>
  <c r="F1239" i="1" s="1"/>
  <c r="H1236" i="1" a="1"/>
  <c r="H1236" i="1" s="1"/>
  <c r="I1228" i="1" a="1"/>
  <c r="I1228" i="1" s="1"/>
  <c r="G1228" i="1" a="1"/>
  <c r="G1228" i="1" s="1"/>
  <c r="F1226" i="1" a="1"/>
  <c r="F1226" i="1" s="1"/>
  <c r="F1225" i="1" a="1"/>
  <c r="F1225" i="1" s="1"/>
  <c r="F1227" i="1" a="1"/>
  <c r="F1227" i="1" s="1"/>
  <c r="J1226" i="1" a="1"/>
  <c r="J1226" i="1" s="1"/>
  <c r="I1226" i="1" a="1"/>
  <c r="I1226" i="1" s="1"/>
  <c r="G1226" i="1" a="1"/>
  <c r="G1226" i="1" s="1"/>
  <c r="F1224" i="1" a="1"/>
  <c r="F1224" i="1" s="1"/>
  <c r="K1223" i="1" a="1"/>
  <c r="K1223" i="1" s="1"/>
  <c r="J1231" i="1" a="1"/>
  <c r="J1231" i="1" s="1"/>
  <c r="H1223" i="1" a="1"/>
  <c r="H1223" i="1" s="1"/>
  <c r="G1230" i="1" a="1"/>
  <c r="G1230" i="1" s="1"/>
  <c r="G1232" i="1" a="1"/>
  <c r="G1232" i="1" s="1"/>
  <c r="H1222" i="1" a="1"/>
  <c r="H1222" i="1" s="1"/>
  <c r="F1232" i="1" a="1"/>
  <c r="F1232" i="1" s="1"/>
  <c r="G1229" i="1" a="1"/>
  <c r="G1229" i="1" s="1"/>
  <c r="K1231" i="1" a="1"/>
  <c r="K1231" i="1" s="1"/>
  <c r="J1229" i="1" a="1"/>
  <c r="J1229" i="1" s="1"/>
  <c r="I1229" i="1" a="1"/>
  <c r="I1229" i="1" s="1"/>
  <c r="F1229" i="1" a="1"/>
  <c r="F1229" i="1" s="1"/>
  <c r="H1225" i="1" a="1"/>
  <c r="H1225" i="1" s="1"/>
  <c r="G1225" i="1" a="1"/>
  <c r="G1225" i="1" s="1"/>
  <c r="J1224" i="1" a="1"/>
  <c r="J1224" i="1" s="1"/>
  <c r="I1231" i="1" a="1"/>
  <c r="I1231" i="1" s="1"/>
  <c r="H1231" i="1" a="1"/>
  <c r="H1231" i="1" s="1"/>
  <c r="G1231" i="1" a="1"/>
  <c r="G1231" i="1" s="1"/>
  <c r="F1231" i="1" a="1"/>
  <c r="F1231" i="1" s="1"/>
  <c r="F1230" i="1" a="1"/>
  <c r="F1230" i="1" s="1"/>
  <c r="K1229" i="1" a="1"/>
  <c r="K1229" i="1" s="1"/>
  <c r="J1228" i="1" a="1"/>
  <c r="J1228" i="1" s="1"/>
  <c r="H1228" i="1" a="1"/>
  <c r="H1228" i="1" s="1"/>
  <c r="J1222" i="1" a="1"/>
  <c r="J1222" i="1" s="1"/>
  <c r="G1227" i="1" a="1"/>
  <c r="G1227" i="1" s="1"/>
  <c r="K1222" i="1" a="1"/>
  <c r="K1222" i="1" s="1"/>
  <c r="K1224" i="1" a="1"/>
  <c r="K1224" i="1" s="1"/>
  <c r="G1224" i="1" a="1"/>
  <c r="G1224" i="1" s="1"/>
  <c r="G1222" i="1" a="1"/>
  <c r="G1222" i="1" s="1"/>
  <c r="F1228" i="1" a="1"/>
  <c r="F1228" i="1" s="1"/>
  <c r="K1227" i="1" a="1"/>
  <c r="K1227" i="1" s="1"/>
  <c r="K1230" i="1" a="1"/>
  <c r="K1230" i="1" s="1"/>
  <c r="H1230" i="1" a="1"/>
  <c r="H1230" i="1" s="1"/>
  <c r="H1226" i="1" a="1"/>
  <c r="H1226" i="1" s="1"/>
  <c r="I1224" i="1" a="1"/>
  <c r="I1224" i="1" s="1"/>
  <c r="I1222" i="1" a="1"/>
  <c r="I1222" i="1" s="1"/>
  <c r="J1227" i="1" a="1"/>
  <c r="J1227" i="1" s="1"/>
  <c r="K1226" i="1" a="1"/>
  <c r="K1226" i="1" s="1"/>
  <c r="K1225" i="1" a="1"/>
  <c r="K1225" i="1" s="1"/>
  <c r="I1225" i="1" a="1"/>
  <c r="I1225" i="1" s="1"/>
  <c r="I1223" i="1" a="1"/>
  <c r="I1223" i="1" s="1"/>
  <c r="H1229" i="1" a="1"/>
  <c r="H1229" i="1" s="1"/>
  <c r="K1228" i="1" a="1"/>
  <c r="K1228" i="1" s="1"/>
  <c r="J1225" i="1" a="1"/>
  <c r="J1225" i="1" s="1"/>
  <c r="H1224" i="1" a="1"/>
  <c r="H1224" i="1" s="1"/>
  <c r="H1227" i="1" a="1"/>
  <c r="H1227" i="1" s="1"/>
  <c r="J1223" i="1" a="1"/>
  <c r="J1223" i="1" s="1"/>
  <c r="F1223" i="1" a="1"/>
  <c r="F1223" i="1" s="1"/>
  <c r="G1223" i="1" a="1"/>
  <c r="G1223" i="1" s="1"/>
  <c r="J1232" i="1" a="1"/>
  <c r="J1232" i="1" s="1"/>
  <c r="I1232" i="1" a="1"/>
  <c r="I1232" i="1" s="1"/>
  <c r="H1232" i="1" a="1"/>
  <c r="H1232" i="1" s="1"/>
  <c r="J1230" i="1" a="1"/>
  <c r="J1230" i="1" s="1"/>
  <c r="I1230" i="1" a="1"/>
  <c r="I1230" i="1" s="1"/>
  <c r="I1227" i="1" a="1"/>
  <c r="I1227" i="1" s="1"/>
  <c r="H1212" i="1" a="1"/>
  <c r="H1212" i="1" s="1"/>
  <c r="G1213" i="1" a="1"/>
  <c r="G1213" i="1" s="1"/>
  <c r="G1217" i="1" a="1"/>
  <c r="G1217" i="1" s="1"/>
  <c r="F1216" i="1" a="1"/>
  <c r="F1216" i="1" s="1"/>
  <c r="I1219" i="1" a="1"/>
  <c r="I1219" i="1" s="1"/>
  <c r="I1216" i="1" a="1"/>
  <c r="I1216" i="1" s="1"/>
  <c r="J1213" i="1" a="1"/>
  <c r="J1213" i="1" s="1"/>
  <c r="F1221" i="1" a="1"/>
  <c r="F1221" i="1" s="1"/>
  <c r="H1218" i="1" a="1"/>
  <c r="H1218" i="1" s="1"/>
  <c r="F1218" i="1" a="1"/>
  <c r="F1218" i="1" s="1"/>
  <c r="H1217" i="1" a="1"/>
  <c r="H1217" i="1" s="1"/>
  <c r="H1214" i="1" a="1"/>
  <c r="H1214" i="1" s="1"/>
  <c r="J1212" i="1" a="1"/>
  <c r="J1212" i="1" s="1"/>
  <c r="G1216" i="1" a="1"/>
  <c r="G1216" i="1" s="1"/>
  <c r="G1214" i="1" a="1"/>
  <c r="G1214" i="1" s="1"/>
  <c r="I1217" i="1" a="1"/>
  <c r="I1217" i="1" s="1"/>
  <c r="I1218" i="1" a="1"/>
  <c r="I1218" i="1" s="1"/>
  <c r="F1217" i="1" a="1"/>
  <c r="F1217" i="1" s="1"/>
  <c r="I1213" i="1" a="1"/>
  <c r="I1213" i="1" s="1"/>
  <c r="I1212" i="1" a="1"/>
  <c r="I1212" i="1" s="1"/>
  <c r="G1212" i="1" a="1"/>
  <c r="G1212" i="1" s="1"/>
  <c r="F1212" i="1" a="1"/>
  <c r="F1212" i="1" s="1"/>
  <c r="K1220" i="1" a="1"/>
  <c r="K1220" i="1" s="1"/>
  <c r="H1215" i="1" a="1"/>
  <c r="H1215" i="1" s="1"/>
  <c r="G1219" i="1" a="1"/>
  <c r="G1219" i="1" s="1"/>
  <c r="H1220" i="1" a="1"/>
  <c r="H1220" i="1" s="1"/>
  <c r="F1220" i="1" a="1"/>
  <c r="F1220" i="1" s="1"/>
  <c r="J1219" i="1" a="1"/>
  <c r="J1219" i="1" s="1"/>
  <c r="K1216" i="1" a="1"/>
  <c r="K1216" i="1" s="1"/>
  <c r="K1212" i="1" a="1"/>
  <c r="K1212" i="1" s="1"/>
  <c r="K1219" i="1" a="1"/>
  <c r="K1219" i="1" s="1"/>
  <c r="F1219" i="1" a="1"/>
  <c r="F1219" i="1" s="1"/>
  <c r="K1213" i="1" a="1"/>
  <c r="K1213" i="1" s="1"/>
  <c r="K1218" i="1" a="1"/>
  <c r="K1218" i="1" s="1"/>
  <c r="I1215" i="1" a="1"/>
  <c r="I1215" i="1" s="1"/>
  <c r="J1217" i="1" a="1"/>
  <c r="J1217" i="1" s="1"/>
  <c r="F1213" i="1" a="1"/>
  <c r="F1213" i="1" s="1"/>
  <c r="K1215" i="1" a="1"/>
  <c r="K1215" i="1" s="1"/>
  <c r="G1218" i="1" a="1"/>
  <c r="G1218" i="1" s="1"/>
  <c r="K1217" i="1" a="1"/>
  <c r="K1217" i="1" s="1"/>
  <c r="F1215" i="1" a="1"/>
  <c r="F1215" i="1" s="1"/>
  <c r="J1214" i="1" a="1"/>
  <c r="J1214" i="1" s="1"/>
  <c r="I1214" i="1" a="1"/>
  <c r="I1214" i="1" s="1"/>
  <c r="J1218" i="1" a="1"/>
  <c r="J1218" i="1" s="1"/>
  <c r="J1216" i="1" a="1"/>
  <c r="J1216" i="1" s="1"/>
  <c r="G1215" i="1" a="1"/>
  <c r="G1215" i="1" s="1"/>
  <c r="K1214" i="1" a="1"/>
  <c r="K1214" i="1" s="1"/>
  <c r="H1213" i="1" a="1"/>
  <c r="H1213" i="1" s="1"/>
  <c r="H1219" i="1" a="1"/>
  <c r="H1219" i="1" s="1"/>
  <c r="H1216" i="1" a="1"/>
  <c r="H1216" i="1" s="1"/>
  <c r="F1222" i="1" a="1"/>
  <c r="F1222" i="1" s="1"/>
  <c r="K1221" i="1" a="1"/>
  <c r="K1221" i="1" s="1"/>
  <c r="J1221" i="1" a="1"/>
  <c r="J1221" i="1" s="1"/>
  <c r="I1221" i="1" a="1"/>
  <c r="I1221" i="1" s="1"/>
  <c r="H1221" i="1" a="1"/>
  <c r="H1221" i="1" s="1"/>
  <c r="G1221" i="1" a="1"/>
  <c r="G1221" i="1" s="1"/>
  <c r="J1220" i="1" a="1"/>
  <c r="J1220" i="1" s="1"/>
  <c r="I1220" i="1" a="1"/>
  <c r="I1220" i="1" s="1"/>
  <c r="J1215" i="1" a="1"/>
  <c r="J1215" i="1" s="1"/>
  <c r="G1220" i="1" a="1"/>
  <c r="G1220" i="1" s="1"/>
  <c r="F1214" i="1" a="1"/>
  <c r="F1214" i="1" s="1"/>
  <c r="K1199" i="1" a="1"/>
  <c r="K1199" i="1" s="1"/>
  <c r="G1206" i="1" a="1"/>
  <c r="G1206" i="1" s="1"/>
  <c r="F1200" i="1" a="1"/>
  <c r="F1200" i="1" s="1"/>
  <c r="K1198" i="1" a="1"/>
  <c r="K1198" i="1" s="1"/>
  <c r="G1198" i="1" a="1"/>
  <c r="G1198" i="1" s="1"/>
  <c r="H1206" i="1" a="1"/>
  <c r="H1206" i="1" s="1"/>
  <c r="I1198" i="1" a="1"/>
  <c r="I1198" i="1" s="1"/>
  <c r="J1197" i="1" a="1"/>
  <c r="J1197" i="1" s="1"/>
  <c r="H1198" i="1" a="1"/>
  <c r="H1198" i="1" s="1"/>
  <c r="F1199" i="1" a="1"/>
  <c r="F1199" i="1" s="1"/>
  <c r="F1209" i="1" a="1"/>
  <c r="F1209" i="1" s="1"/>
  <c r="G1210" i="1" a="1"/>
  <c r="G1210" i="1" s="1"/>
  <c r="F1210" i="1" a="1"/>
  <c r="F1210" i="1" s="1"/>
  <c r="K1209" i="1" a="1"/>
  <c r="K1209" i="1" s="1"/>
  <c r="I1209" i="1" a="1"/>
  <c r="I1209" i="1" s="1"/>
  <c r="H1209" i="1" a="1"/>
  <c r="H1209" i="1" s="1"/>
  <c r="I1199" i="1" a="1"/>
  <c r="I1199" i="1" s="1"/>
  <c r="K1208" i="1" a="1"/>
  <c r="K1208" i="1" s="1"/>
  <c r="I1208" i="1" a="1"/>
  <c r="I1208" i="1" s="1"/>
  <c r="F1207" i="1" a="1"/>
  <c r="F1207" i="1" s="1"/>
  <c r="G1199" i="1" a="1"/>
  <c r="G1199" i="1" s="1"/>
  <c r="G1200" i="1" a="1"/>
  <c r="G1200" i="1" s="1"/>
  <c r="F1206" i="1" a="1"/>
  <c r="F1206" i="1" s="1"/>
  <c r="J1198" i="1" a="1"/>
  <c r="J1198" i="1" s="1"/>
  <c r="J1208" i="1" a="1"/>
  <c r="J1208" i="1" s="1"/>
  <c r="H1208" i="1" a="1"/>
  <c r="H1208" i="1" s="1"/>
  <c r="G1208" i="1" a="1"/>
  <c r="G1208" i="1" s="1"/>
  <c r="G1207" i="1" a="1"/>
  <c r="G1207" i="1" s="1"/>
  <c r="H1200" i="1" a="1"/>
  <c r="H1200" i="1" s="1"/>
  <c r="H1199" i="1" a="1"/>
  <c r="H1199" i="1" s="1"/>
  <c r="I1207" i="1" a="1"/>
  <c r="I1207" i="1" s="1"/>
  <c r="K1206" i="1" a="1"/>
  <c r="K1206" i="1" s="1"/>
  <c r="K1207" i="1" a="1"/>
  <c r="K1207" i="1" s="1"/>
  <c r="K1210" i="1" a="1"/>
  <c r="K1210" i="1" s="1"/>
  <c r="G1209" i="1" a="1"/>
  <c r="G1209" i="1" s="1"/>
  <c r="J1209" i="1" a="1"/>
  <c r="J1209" i="1" s="1"/>
  <c r="I1200" i="1" a="1"/>
  <c r="I1200" i="1" s="1"/>
  <c r="K1197" i="1" a="1"/>
  <c r="K1197" i="1" s="1"/>
  <c r="I1210" i="1" a="1"/>
  <c r="I1210" i="1" s="1"/>
  <c r="I1206" i="1" a="1"/>
  <c r="I1206" i="1" s="1"/>
  <c r="K1200" i="1" a="1"/>
  <c r="K1200" i="1" s="1"/>
  <c r="J1200" i="1" a="1"/>
  <c r="J1200" i="1" s="1"/>
  <c r="J1199" i="1" a="1"/>
  <c r="J1199" i="1" s="1"/>
  <c r="F1198" i="1" a="1"/>
  <c r="F1198" i="1" s="1"/>
  <c r="J1210" i="1" a="1"/>
  <c r="J1210" i="1" s="1"/>
  <c r="H1210" i="1" a="1"/>
  <c r="H1210" i="1" s="1"/>
  <c r="F1208" i="1" a="1"/>
  <c r="F1208" i="1" s="1"/>
  <c r="J1207" i="1" a="1"/>
  <c r="J1207" i="1" s="1"/>
  <c r="H1207" i="1" a="1"/>
  <c r="H1207" i="1" s="1"/>
  <c r="J1206" i="1" a="1"/>
  <c r="J1206" i="1" s="1"/>
  <c r="J1187" i="1" a="1"/>
  <c r="J1187" i="1" s="1"/>
  <c r="K1192" i="1" a="1"/>
  <c r="K1192" i="1" s="1"/>
  <c r="F1191" i="1" a="1"/>
  <c r="F1191" i="1" s="1"/>
  <c r="H1192" i="1" a="1"/>
  <c r="H1192" i="1" s="1"/>
  <c r="H1194" i="1" a="1"/>
  <c r="H1194" i="1" s="1"/>
  <c r="G1194" i="1" a="1"/>
  <c r="G1194" i="1" s="1"/>
  <c r="K1193" i="1" a="1"/>
  <c r="K1193" i="1" s="1"/>
  <c r="H1195" i="1" a="1"/>
  <c r="H1195" i="1" s="1"/>
  <c r="K1194" i="1" a="1"/>
  <c r="K1194" i="1" s="1"/>
  <c r="H1190" i="1" a="1"/>
  <c r="H1190" i="1" s="1"/>
  <c r="H1189" i="1" a="1"/>
  <c r="H1189" i="1" s="1"/>
  <c r="G1188" i="1" a="1"/>
  <c r="G1188" i="1" s="1"/>
  <c r="F1187" i="1" a="1"/>
  <c r="F1187" i="1" s="1"/>
  <c r="I1193" i="1" a="1"/>
  <c r="I1193" i="1" s="1"/>
  <c r="G1195" i="1" a="1"/>
  <c r="G1195" i="1" s="1"/>
  <c r="K1195" i="1" a="1"/>
  <c r="K1195" i="1" s="1"/>
  <c r="F1189" i="1" a="1"/>
  <c r="F1189" i="1" s="1"/>
  <c r="J1195" i="1" a="1"/>
  <c r="J1195" i="1" s="1"/>
  <c r="I1190" i="1" a="1"/>
  <c r="I1190" i="1" s="1"/>
  <c r="G1190" i="1" a="1"/>
  <c r="G1190" i="1" s="1"/>
  <c r="J1188" i="1" a="1"/>
  <c r="J1188" i="1" s="1"/>
  <c r="G1187" i="1" a="1"/>
  <c r="G1187" i="1" s="1"/>
  <c r="H1188" i="1" a="1"/>
  <c r="H1188" i="1" s="1"/>
  <c r="I1187" i="1" a="1"/>
  <c r="I1187" i="1" s="1"/>
  <c r="I1197" i="1" a="1"/>
  <c r="I1197" i="1" s="1"/>
  <c r="J1191" i="1" a="1"/>
  <c r="J1191" i="1" s="1"/>
  <c r="G1197" i="1" a="1"/>
  <c r="G1197" i="1" s="1"/>
  <c r="K1196" i="1" a="1"/>
  <c r="K1196" i="1" s="1"/>
  <c r="G1193" i="1" a="1"/>
  <c r="G1193" i="1" s="1"/>
  <c r="K1191" i="1" a="1"/>
  <c r="K1191" i="1" s="1"/>
  <c r="I1196" i="1" a="1"/>
  <c r="I1196" i="1" s="1"/>
  <c r="J1190" i="1" a="1"/>
  <c r="J1190" i="1" s="1"/>
  <c r="H1187" i="1" a="1"/>
  <c r="H1187" i="1" s="1"/>
  <c r="K1190" i="1" a="1"/>
  <c r="K1190" i="1" s="1"/>
  <c r="F1190" i="1" a="1"/>
  <c r="F1190" i="1" s="1"/>
  <c r="F1193" i="1" a="1"/>
  <c r="F1193" i="1" s="1"/>
  <c r="K1188" i="1" a="1"/>
  <c r="K1188" i="1" s="1"/>
  <c r="G1191" i="1" a="1"/>
  <c r="G1191" i="1" s="1"/>
  <c r="I1189" i="1" a="1"/>
  <c r="I1189" i="1" s="1"/>
  <c r="J1189" i="1" a="1"/>
  <c r="J1189" i="1" s="1"/>
  <c r="I1191" i="1" a="1"/>
  <c r="I1191" i="1" s="1"/>
  <c r="H1196" i="1" a="1"/>
  <c r="H1196" i="1" s="1"/>
  <c r="F1194" i="1" a="1"/>
  <c r="F1194" i="1" s="1"/>
  <c r="G1189" i="1" a="1"/>
  <c r="G1189" i="1" s="1"/>
  <c r="J1194" i="1" a="1"/>
  <c r="J1194" i="1" s="1"/>
  <c r="J1196" i="1" a="1"/>
  <c r="J1196" i="1" s="1"/>
  <c r="F1192" i="1" a="1"/>
  <c r="F1192" i="1" s="1"/>
  <c r="K1189" i="1" a="1"/>
  <c r="K1189" i="1" s="1"/>
  <c r="F1188" i="1" a="1"/>
  <c r="F1188" i="1" s="1"/>
  <c r="G1196" i="1" a="1"/>
  <c r="G1196" i="1" s="1"/>
  <c r="I1192" i="1" a="1"/>
  <c r="I1192" i="1" s="1"/>
  <c r="H1197" i="1" a="1"/>
  <c r="H1197" i="1" s="1"/>
  <c r="J1193" i="1" a="1"/>
  <c r="J1193" i="1" s="1"/>
  <c r="F1197" i="1" a="1"/>
  <c r="F1197" i="1" s="1"/>
  <c r="F1196" i="1" a="1"/>
  <c r="F1196" i="1" s="1"/>
  <c r="I1195" i="1" a="1"/>
  <c r="I1195" i="1" s="1"/>
  <c r="K1187" i="1" a="1"/>
  <c r="K1187" i="1" s="1"/>
  <c r="F1195" i="1" a="1"/>
  <c r="F1195" i="1" s="1"/>
  <c r="G1192" i="1" a="1"/>
  <c r="G1192" i="1" s="1"/>
  <c r="I1194" i="1" a="1"/>
  <c r="I1194" i="1" s="1"/>
  <c r="H1193" i="1" a="1"/>
  <c r="H1193" i="1" s="1"/>
  <c r="I1188" i="1" a="1"/>
  <c r="I1188" i="1" s="1"/>
  <c r="J1192" i="1" a="1"/>
  <c r="J1192" i="1" s="1"/>
  <c r="H1191" i="1" a="1"/>
  <c r="H1191" i="1" s="1"/>
  <c r="J1177" i="1" a="1"/>
  <c r="J1177" i="1" s="1"/>
  <c r="H1175" i="1" a="1"/>
  <c r="H1175" i="1" s="1"/>
  <c r="H1176" i="1" a="1"/>
  <c r="H1176" i="1" s="1"/>
  <c r="F1174" i="1" a="1"/>
  <c r="F1174" i="1" s="1"/>
  <c r="K1176" i="1" a="1"/>
  <c r="K1176" i="1" s="1"/>
  <c r="J1175" i="1" a="1"/>
  <c r="J1175" i="1" s="1"/>
  <c r="H1186" i="1" a="1"/>
  <c r="H1186" i="1" s="1"/>
  <c r="G1186" i="1" a="1"/>
  <c r="G1186" i="1" s="1"/>
  <c r="G1175" i="1" a="1"/>
  <c r="G1175" i="1" s="1"/>
  <c r="J1184" i="1" a="1"/>
  <c r="J1184" i="1" s="1"/>
  <c r="F1175" i="1" a="1"/>
  <c r="F1175" i="1" s="1"/>
  <c r="J1186" i="1" a="1"/>
  <c r="J1186" i="1" s="1"/>
  <c r="K1185" i="1" a="1"/>
  <c r="K1185" i="1" s="1"/>
  <c r="I1184" i="1" a="1"/>
  <c r="I1184" i="1" s="1"/>
  <c r="H1184" i="1" a="1"/>
  <c r="H1184" i="1" s="1"/>
  <c r="I1183" i="1" a="1"/>
  <c r="I1183" i="1" s="1"/>
  <c r="F1177" i="1" a="1"/>
  <c r="F1177" i="1" s="1"/>
  <c r="I1175" i="1" a="1"/>
  <c r="I1175" i="1" s="1"/>
  <c r="I1176" i="1" a="1"/>
  <c r="I1176" i="1" s="1"/>
  <c r="G1174" i="1" a="1"/>
  <c r="G1174" i="1" s="1"/>
  <c r="K1174" i="1" a="1"/>
  <c r="K1174" i="1" s="1"/>
  <c r="H1183" i="1" a="1"/>
  <c r="H1183" i="1" s="1"/>
  <c r="K1186" i="1" a="1"/>
  <c r="K1186" i="1" s="1"/>
  <c r="I1186" i="1" a="1"/>
  <c r="I1186" i="1" s="1"/>
  <c r="F1186" i="1" a="1"/>
  <c r="F1186" i="1" s="1"/>
  <c r="J1185" i="1" a="1"/>
  <c r="J1185" i="1" s="1"/>
  <c r="H1185" i="1" a="1"/>
  <c r="H1185" i="1" s="1"/>
  <c r="K1177" i="1" a="1"/>
  <c r="K1177" i="1" s="1"/>
  <c r="G1177" i="1" a="1"/>
  <c r="G1177" i="1" s="1"/>
  <c r="F1183" i="1" a="1"/>
  <c r="F1183" i="1" s="1"/>
  <c r="I1177" i="1" a="1"/>
  <c r="I1177" i="1" s="1"/>
  <c r="G1176" i="1" a="1"/>
  <c r="G1176" i="1" s="1"/>
  <c r="K1175" i="1" a="1"/>
  <c r="K1175" i="1" s="1"/>
  <c r="I1174" i="1" a="1"/>
  <c r="I1174" i="1" s="1"/>
  <c r="H1174" i="1" a="1"/>
  <c r="H1174" i="1" s="1"/>
  <c r="I1185" i="1" a="1"/>
  <c r="I1185" i="1" s="1"/>
  <c r="G1183" i="1" a="1"/>
  <c r="G1183" i="1" s="1"/>
  <c r="J1174" i="1" a="1"/>
  <c r="J1174" i="1" s="1"/>
  <c r="G1185" i="1" a="1"/>
  <c r="G1185" i="1" s="1"/>
  <c r="F1176" i="1" a="1"/>
  <c r="F1176" i="1" s="1"/>
  <c r="J1176" i="1" a="1"/>
  <c r="J1176" i="1" s="1"/>
  <c r="H1177" i="1" a="1"/>
  <c r="H1177" i="1" s="1"/>
  <c r="F1185" i="1" a="1"/>
  <c r="F1185" i="1" s="1"/>
  <c r="J1183" i="1" a="1"/>
  <c r="J1183" i="1" s="1"/>
  <c r="K1184" i="1" a="1"/>
  <c r="K1184" i="1" s="1"/>
  <c r="G1184" i="1" a="1"/>
  <c r="G1184" i="1" s="1"/>
  <c r="F1184" i="1" a="1"/>
  <c r="F1184" i="1" s="1"/>
  <c r="K1183" i="1" a="1"/>
  <c r="K1183" i="1" s="1"/>
  <c r="I1165" i="1" a="1"/>
  <c r="I1165" i="1" s="1"/>
  <c r="I1166" i="1" a="1"/>
  <c r="I1166" i="1" s="1"/>
  <c r="K1170" i="1" a="1"/>
  <c r="K1170" i="1" s="1"/>
  <c r="G1167" i="1" a="1"/>
  <c r="G1167" i="1" s="1"/>
  <c r="J1169" i="1" a="1"/>
  <c r="J1169" i="1" s="1"/>
  <c r="J1168" i="1" a="1"/>
  <c r="J1168" i="1" s="1"/>
  <c r="J1167" i="1" a="1"/>
  <c r="J1167" i="1" s="1"/>
  <c r="J1166" i="1" a="1"/>
  <c r="J1166" i="1" s="1"/>
  <c r="I1163" i="1" a="1"/>
  <c r="I1163" i="1" s="1"/>
  <c r="K1165" i="1" a="1"/>
  <c r="K1165" i="1" s="1"/>
  <c r="F1164" i="1" a="1"/>
  <c r="F1164" i="1" s="1"/>
  <c r="I1170" i="1" a="1"/>
  <c r="I1170" i="1" s="1"/>
  <c r="H1167" i="1" a="1"/>
  <c r="H1167" i="1" s="1"/>
  <c r="K1166" i="1" a="1"/>
  <c r="K1166" i="1" s="1"/>
  <c r="K1173" i="1" a="1"/>
  <c r="K1173" i="1" s="1"/>
  <c r="F1171" i="1" a="1"/>
  <c r="F1171" i="1" s="1"/>
  <c r="J1173" i="1" a="1"/>
  <c r="J1173" i="1" s="1"/>
  <c r="I1173" i="1" a="1"/>
  <c r="I1173" i="1" s="1"/>
  <c r="H1173" i="1" a="1"/>
  <c r="H1173" i="1" s="1"/>
  <c r="G1172" i="1" a="1"/>
  <c r="G1172" i="1" s="1"/>
  <c r="G1165" i="1" a="1"/>
  <c r="G1165" i="1" s="1"/>
  <c r="H1170" i="1" a="1"/>
  <c r="H1170" i="1" s="1"/>
  <c r="F1172" i="1" a="1"/>
  <c r="F1172" i="1" s="1"/>
  <c r="J1171" i="1" a="1"/>
  <c r="J1171" i="1" s="1"/>
  <c r="J1165" i="1" a="1"/>
  <c r="J1165" i="1" s="1"/>
  <c r="F1170" i="1" a="1"/>
  <c r="F1170" i="1" s="1"/>
  <c r="G1171" i="1" a="1"/>
  <c r="G1171" i="1" s="1"/>
  <c r="F1167" i="1" a="1"/>
  <c r="F1167" i="1" s="1"/>
  <c r="K1163" i="1" a="1"/>
  <c r="K1163" i="1" s="1"/>
  <c r="H1171" i="1" a="1"/>
  <c r="H1171" i="1" s="1"/>
  <c r="H1169" i="1" a="1"/>
  <c r="H1169" i="1" s="1"/>
  <c r="F1169" i="1" a="1"/>
  <c r="F1169" i="1" s="1"/>
  <c r="F1166" i="1" a="1"/>
  <c r="F1166" i="1" s="1"/>
  <c r="G1169" i="1" a="1"/>
  <c r="G1169" i="1" s="1"/>
  <c r="G1166" i="1" a="1"/>
  <c r="G1166" i="1" s="1"/>
  <c r="F1165" i="1" a="1"/>
  <c r="F1165" i="1" s="1"/>
  <c r="H1166" i="1" a="1"/>
  <c r="H1166" i="1" s="1"/>
  <c r="I1172" i="1" a="1"/>
  <c r="I1172" i="1" s="1"/>
  <c r="G1168" i="1" a="1"/>
  <c r="G1168" i="1" s="1"/>
  <c r="K1167" i="1" a="1"/>
  <c r="K1167" i="1" s="1"/>
  <c r="G1173" i="1" a="1"/>
  <c r="G1173" i="1" s="1"/>
  <c r="J1170" i="1" a="1"/>
  <c r="J1170" i="1" s="1"/>
  <c r="F1173" i="1" a="1"/>
  <c r="F1173" i="1" s="1"/>
  <c r="K1172" i="1" a="1"/>
  <c r="K1172" i="1" s="1"/>
  <c r="K1169" i="1" a="1"/>
  <c r="K1169" i="1" s="1"/>
  <c r="J1172" i="1" a="1"/>
  <c r="J1172" i="1" s="1"/>
  <c r="H1172" i="1" a="1"/>
  <c r="H1172" i="1" s="1"/>
  <c r="K1171" i="1" a="1"/>
  <c r="K1171" i="1" s="1"/>
  <c r="K1168" i="1" a="1"/>
  <c r="K1168" i="1" s="1"/>
  <c r="G1164" i="1" a="1"/>
  <c r="G1164" i="1" s="1"/>
  <c r="J1163" i="1" a="1"/>
  <c r="J1163" i="1" s="1"/>
  <c r="I1168" i="1" a="1"/>
  <c r="I1168" i="1" s="1"/>
  <c r="I1167" i="1" a="1"/>
  <c r="I1167" i="1" s="1"/>
  <c r="H1165" i="1" a="1"/>
  <c r="H1165" i="1" s="1"/>
  <c r="H1163" i="1" a="1"/>
  <c r="H1163" i="1" s="1"/>
  <c r="I1171" i="1" a="1"/>
  <c r="I1171" i="1" s="1"/>
  <c r="J1164" i="1" a="1"/>
  <c r="J1164" i="1" s="1"/>
  <c r="K1164" i="1" a="1"/>
  <c r="K1164" i="1" s="1"/>
  <c r="H1164" i="1" a="1"/>
  <c r="H1164" i="1" s="1"/>
  <c r="G1170" i="1" a="1"/>
  <c r="G1170" i="1" s="1"/>
  <c r="H1168" i="1" a="1"/>
  <c r="H1168" i="1" s="1"/>
  <c r="F1168" i="1" a="1"/>
  <c r="F1168" i="1" s="1"/>
  <c r="I1169" i="1" a="1"/>
  <c r="I1169" i="1" s="1"/>
  <c r="I1164" i="1" a="1"/>
  <c r="I1164" i="1" s="1"/>
  <c r="H1152" i="1" a="1"/>
  <c r="H1152" i="1" s="1"/>
  <c r="K1151" i="1" a="1"/>
  <c r="K1151" i="1" s="1"/>
  <c r="G1162" i="1" a="1"/>
  <c r="G1162" i="1" s="1"/>
  <c r="H1148" i="1" a="1"/>
  <c r="H1148" i="1" s="1"/>
  <c r="K1161" i="1" a="1"/>
  <c r="K1161" i="1" s="1"/>
  <c r="I1161" i="1" a="1"/>
  <c r="I1161" i="1" s="1"/>
  <c r="J1154" i="1" a="1"/>
  <c r="J1154" i="1" s="1"/>
  <c r="I1152" i="1" a="1"/>
  <c r="I1152" i="1" s="1"/>
  <c r="F1152" i="1" a="1"/>
  <c r="F1152" i="1" s="1"/>
  <c r="J1152" i="1" a="1"/>
  <c r="J1152" i="1" s="1"/>
  <c r="G1154" i="1" a="1"/>
  <c r="G1154" i="1" s="1"/>
  <c r="G1160" i="1" a="1"/>
  <c r="G1160" i="1" s="1"/>
  <c r="I1154" i="1" a="1"/>
  <c r="I1154" i="1" s="1"/>
  <c r="I1148" i="1" a="1"/>
  <c r="I1148" i="1" s="1"/>
  <c r="H1162" i="1" a="1"/>
  <c r="H1162" i="1" s="1"/>
  <c r="I1160" i="1" a="1"/>
  <c r="I1160" i="1" s="1"/>
  <c r="G1151" i="1" a="1"/>
  <c r="G1151" i="1" s="1"/>
  <c r="F1160" i="1" a="1"/>
  <c r="F1160" i="1" s="1"/>
  <c r="F1151" i="1" a="1"/>
  <c r="F1151" i="1" s="1"/>
  <c r="G1153" i="1" a="1"/>
  <c r="G1153" i="1" s="1"/>
  <c r="F1153" i="1" a="1"/>
  <c r="F1153" i="1" s="1"/>
  <c r="I1151" i="1" a="1"/>
  <c r="I1151" i="1" s="1"/>
  <c r="G1148" i="1" a="1"/>
  <c r="G1148" i="1" s="1"/>
  <c r="H1160" i="1" a="1"/>
  <c r="H1160" i="1" s="1"/>
  <c r="J1161" i="1" a="1"/>
  <c r="J1161" i="1" s="1"/>
  <c r="H1161" i="1" a="1"/>
  <c r="H1161" i="1" s="1"/>
  <c r="J1153" i="1" a="1"/>
  <c r="J1153" i="1" s="1"/>
  <c r="K1152" i="1" a="1"/>
  <c r="K1152" i="1" s="1"/>
  <c r="J1151" i="1" a="1"/>
  <c r="J1151" i="1" s="1"/>
  <c r="H1154" i="1" a="1"/>
  <c r="H1154" i="1" s="1"/>
  <c r="G1163" i="1" a="1"/>
  <c r="G1163" i="1" s="1"/>
  <c r="F1163" i="1" a="1"/>
  <c r="F1163" i="1" s="1"/>
  <c r="F1154" i="1" a="1"/>
  <c r="F1154" i="1" s="1"/>
  <c r="F1162" i="1" a="1"/>
  <c r="F1162" i="1" s="1"/>
  <c r="G1161" i="1" a="1"/>
  <c r="G1161" i="1" s="1"/>
  <c r="J1160" i="1" a="1"/>
  <c r="J1160" i="1" s="1"/>
  <c r="K1154" i="1" a="1"/>
  <c r="K1154" i="1" s="1"/>
  <c r="H1151" i="1" a="1"/>
  <c r="H1151" i="1" s="1"/>
  <c r="K1148" i="1" a="1"/>
  <c r="K1148" i="1" s="1"/>
  <c r="J1148" i="1" a="1"/>
  <c r="J1148" i="1" s="1"/>
  <c r="K1153" i="1" a="1"/>
  <c r="K1153" i="1" s="1"/>
  <c r="K1162" i="1" a="1"/>
  <c r="K1162" i="1" s="1"/>
  <c r="I1153" i="1" a="1"/>
  <c r="I1153" i="1" s="1"/>
  <c r="I1162" i="1" a="1"/>
  <c r="I1162" i="1" s="1"/>
  <c r="J1162" i="1" a="1"/>
  <c r="J1162" i="1" s="1"/>
  <c r="F1161" i="1" a="1"/>
  <c r="F1161" i="1" s="1"/>
  <c r="K1160" i="1" a="1"/>
  <c r="K1160" i="1" s="1"/>
  <c r="H1153" i="1" a="1"/>
  <c r="H1153" i="1" s="1"/>
  <c r="G1152" i="1" a="1"/>
  <c r="G1152" i="1" s="1"/>
  <c r="K1139" i="1" a="1"/>
  <c r="K1139" i="1" s="1"/>
  <c r="H1142" i="1" a="1"/>
  <c r="H1142" i="1" s="1"/>
  <c r="F1142" i="1" a="1"/>
  <c r="F1142" i="1" s="1"/>
  <c r="J1141" i="1" a="1"/>
  <c r="J1141" i="1" s="1"/>
  <c r="F1140" i="1" a="1"/>
  <c r="F1140" i="1" s="1"/>
  <c r="H1141" i="1" a="1"/>
  <c r="H1141" i="1" s="1"/>
  <c r="K1138" i="1" a="1"/>
  <c r="K1138" i="1" s="1"/>
  <c r="I1138" i="1" a="1"/>
  <c r="I1138" i="1" s="1"/>
  <c r="J1147" i="1" a="1"/>
  <c r="J1147" i="1" s="1"/>
  <c r="H1147" i="1" a="1"/>
  <c r="H1147" i="1" s="1"/>
  <c r="F1145" i="1" a="1"/>
  <c r="F1145" i="1" s="1"/>
  <c r="K1144" i="1" a="1"/>
  <c r="K1144" i="1" s="1"/>
  <c r="K1137" i="1" a="1"/>
  <c r="K1137" i="1" s="1"/>
  <c r="H1138" i="1" a="1"/>
  <c r="H1138" i="1" s="1"/>
  <c r="I1144" i="1" a="1"/>
  <c r="I1144" i="1" s="1"/>
  <c r="G1144" i="1" a="1"/>
  <c r="G1144" i="1" s="1"/>
  <c r="K1143" i="1" a="1"/>
  <c r="K1143" i="1" s="1"/>
  <c r="I1141" i="1" a="1"/>
  <c r="I1141" i="1" s="1"/>
  <c r="I1139" i="1" a="1"/>
  <c r="I1139" i="1" s="1"/>
  <c r="F1138" i="1" a="1"/>
  <c r="F1138" i="1" s="1"/>
  <c r="J1138" i="1" a="1"/>
  <c r="J1138" i="1" s="1"/>
  <c r="F1143" i="1" a="1"/>
  <c r="F1143" i="1" s="1"/>
  <c r="G1139" i="1" a="1"/>
  <c r="G1139" i="1" s="1"/>
  <c r="H1143" i="1" a="1"/>
  <c r="H1143" i="1" s="1"/>
  <c r="G1141" i="1" a="1"/>
  <c r="G1141" i="1" s="1"/>
  <c r="G1140" i="1" a="1"/>
  <c r="G1140" i="1" s="1"/>
  <c r="G1147" i="1" a="1"/>
  <c r="G1147" i="1" s="1"/>
  <c r="J1143" i="1" a="1"/>
  <c r="J1143" i="1" s="1"/>
  <c r="F1141" i="1" a="1"/>
  <c r="F1141" i="1" s="1"/>
  <c r="F1147" i="1" a="1"/>
  <c r="F1147" i="1" s="1"/>
  <c r="H1146" i="1" a="1"/>
  <c r="H1146" i="1" s="1"/>
  <c r="K1141" i="1" a="1"/>
  <c r="K1141" i="1" s="1"/>
  <c r="J1145" i="1" a="1"/>
  <c r="J1145" i="1" s="1"/>
  <c r="H1145" i="1" a="1"/>
  <c r="H1145" i="1" s="1"/>
  <c r="H1139" i="1" a="1"/>
  <c r="H1139" i="1" s="1"/>
  <c r="G1138" i="1" a="1"/>
  <c r="G1138" i="1" s="1"/>
  <c r="F1146" i="1" a="1"/>
  <c r="F1146" i="1" s="1"/>
  <c r="I1140" i="1" a="1"/>
  <c r="I1140" i="1" s="1"/>
  <c r="G1142" i="1" a="1"/>
  <c r="G1142" i="1" s="1"/>
  <c r="F1148" i="1" a="1"/>
  <c r="F1148" i="1" s="1"/>
  <c r="K1147" i="1" a="1"/>
  <c r="K1147" i="1" s="1"/>
  <c r="J1144" i="1" a="1"/>
  <c r="J1144" i="1" s="1"/>
  <c r="K1142" i="1" a="1"/>
  <c r="K1142" i="1" s="1"/>
  <c r="I1142" i="1" a="1"/>
  <c r="I1142" i="1" s="1"/>
  <c r="I1147" i="1" a="1"/>
  <c r="I1147" i="1" s="1"/>
  <c r="K1146" i="1" a="1"/>
  <c r="K1146" i="1" s="1"/>
  <c r="J1146" i="1" a="1"/>
  <c r="J1146" i="1" s="1"/>
  <c r="F1144" i="1" a="1"/>
  <c r="F1144" i="1" s="1"/>
  <c r="I1143" i="1" a="1"/>
  <c r="I1143" i="1" s="1"/>
  <c r="K1140" i="1" a="1"/>
  <c r="K1140" i="1" s="1"/>
  <c r="F1139" i="1" a="1"/>
  <c r="F1139" i="1" s="1"/>
  <c r="I1146" i="1" a="1"/>
  <c r="I1146" i="1" s="1"/>
  <c r="J1139" i="1" a="1"/>
  <c r="J1139" i="1" s="1"/>
  <c r="G1143" i="1" a="1"/>
  <c r="G1143" i="1" s="1"/>
  <c r="G1146" i="1" a="1"/>
  <c r="G1146" i="1" s="1"/>
  <c r="K1145" i="1" a="1"/>
  <c r="K1145" i="1" s="1"/>
  <c r="J1142" i="1" a="1"/>
  <c r="J1142" i="1" s="1"/>
  <c r="I1145" i="1" a="1"/>
  <c r="I1145" i="1" s="1"/>
  <c r="J1140" i="1" a="1"/>
  <c r="J1140" i="1" s="1"/>
  <c r="H1140" i="1" a="1"/>
  <c r="H1140" i="1" s="1"/>
  <c r="G1145" i="1" a="1"/>
  <c r="G1145" i="1" s="1"/>
  <c r="H1144" i="1" a="1"/>
  <c r="H1144" i="1" s="1"/>
  <c r="J1137" i="1" a="1"/>
  <c r="J1137" i="1" s="1"/>
  <c r="J1136" i="1" a="1"/>
  <c r="J1136" i="1" s="1"/>
  <c r="H1136" i="1" a="1"/>
  <c r="H1136" i="1" s="1"/>
  <c r="I1137" i="1" a="1"/>
  <c r="I1137" i="1" s="1"/>
  <c r="G1137" i="1" a="1"/>
  <c r="G1137" i="1" s="1"/>
  <c r="H1137" i="1" a="1"/>
  <c r="H1137" i="1" s="1"/>
  <c r="F1137" i="1" a="1"/>
  <c r="F1137" i="1" s="1"/>
  <c r="K1136" i="1" a="1"/>
  <c r="K1136" i="1" s="1"/>
  <c r="I1136" i="1" a="1"/>
  <c r="I1136" i="1" s="1"/>
  <c r="G1136" i="1" a="1"/>
  <c r="G1136" i="1" s="1"/>
  <c r="F1136" i="1" a="1"/>
  <c r="F1136" i="1" s="1"/>
  <c r="K1080" i="1"/>
  <c r="J1080" i="1"/>
  <c r="I1080" i="1"/>
  <c r="H1080" i="1"/>
  <c r="G1080" i="1"/>
  <c r="F1080" i="1"/>
  <c r="K1079" i="1"/>
  <c r="K1105" i="1" s="1"/>
  <c r="J1079" i="1"/>
  <c r="J1105" i="1" s="1"/>
  <c r="I1079" i="1"/>
  <c r="I1105" i="1" s="1"/>
  <c r="H1079" i="1"/>
  <c r="H1105" i="1" s="1"/>
  <c r="G1079" i="1"/>
  <c r="G1105" i="1" s="1"/>
  <c r="F1079" i="1"/>
  <c r="F1105" i="1" s="1"/>
  <c r="K1078" i="1"/>
  <c r="K1104" i="1" s="1"/>
  <c r="J1078" i="1"/>
  <c r="J1104" i="1" s="1"/>
  <c r="I1078" i="1"/>
  <c r="I1104" i="1" s="1"/>
  <c r="H1078" i="1"/>
  <c r="H1104" i="1" s="1"/>
  <c r="G1078" i="1"/>
  <c r="G1104" i="1" s="1"/>
  <c r="F1078" i="1"/>
  <c r="F1104" i="1" s="1"/>
  <c r="K1076" i="1"/>
  <c r="K1102" i="1" s="1"/>
  <c r="J1076" i="1"/>
  <c r="J1102" i="1" s="1"/>
  <c r="I1076" i="1"/>
  <c r="I1102" i="1" s="1"/>
  <c r="H1076" i="1"/>
  <c r="H1102" i="1" s="1"/>
  <c r="G1076" i="1"/>
  <c r="G1102" i="1" s="1"/>
  <c r="F1076" i="1"/>
  <c r="F1102" i="1" s="1"/>
  <c r="K1074" i="1"/>
  <c r="K1100" i="1" s="1"/>
  <c r="J1074" i="1"/>
  <c r="J1100" i="1" s="1"/>
  <c r="I1074" i="1"/>
  <c r="I1100" i="1" s="1"/>
  <c r="H1074" i="1"/>
  <c r="H1100" i="1" s="1"/>
  <c r="G1074" i="1"/>
  <c r="G1100" i="1" s="1"/>
  <c r="F1074" i="1"/>
  <c r="F1100" i="1" s="1"/>
  <c r="K1072" i="1"/>
  <c r="K1098" i="1" s="1"/>
  <c r="J1072" i="1"/>
  <c r="J1098" i="1" s="1"/>
  <c r="I1072" i="1"/>
  <c r="I1098" i="1" s="1"/>
  <c r="H1072" i="1"/>
  <c r="H1098" i="1" s="1"/>
  <c r="G1072" i="1"/>
  <c r="G1098" i="1" s="1"/>
  <c r="F1072" i="1"/>
  <c r="F1098" i="1" s="1"/>
  <c r="K1066" i="1"/>
  <c r="K1092" i="1" s="1"/>
  <c r="J1066" i="1"/>
  <c r="J1092" i="1" s="1"/>
  <c r="I1066" i="1"/>
  <c r="I1092" i="1" s="1"/>
  <c r="H1066" i="1"/>
  <c r="H1092" i="1" s="1"/>
  <c r="G1066" i="1"/>
  <c r="G1092" i="1" s="1"/>
  <c r="F1066" i="1"/>
  <c r="F1092" i="1" s="1"/>
  <c r="K1065" i="1"/>
  <c r="J1065" i="1"/>
  <c r="I1065" i="1"/>
  <c r="H1065" i="1"/>
  <c r="G1065" i="1"/>
  <c r="F1065" i="1"/>
  <c r="K1064" i="1"/>
  <c r="J1064" i="1"/>
  <c r="I1064" i="1"/>
  <c r="H1064" i="1"/>
  <c r="G1064" i="1"/>
  <c r="F1064" i="1"/>
  <c r="K1062" i="1"/>
  <c r="K1088" i="1" s="1"/>
  <c r="J1062" i="1"/>
  <c r="J1088" i="1" s="1"/>
  <c r="I1062" i="1"/>
  <c r="I1088" i="1" s="1"/>
  <c r="H1062" i="1"/>
  <c r="H1088" i="1" s="1"/>
  <c r="G1062" i="1"/>
  <c r="G1088" i="1" s="1"/>
  <c r="F1062" i="1"/>
  <c r="F1088" i="1" s="1"/>
  <c r="K1061" i="1"/>
  <c r="K1087" i="1" s="1"/>
  <c r="J1061" i="1"/>
  <c r="J1087" i="1" s="1"/>
  <c r="I1061" i="1"/>
  <c r="I1087" i="1" s="1"/>
  <c r="H1061" i="1"/>
  <c r="H1087" i="1" s="1"/>
  <c r="G1061" i="1"/>
  <c r="G1087" i="1" s="1"/>
  <c r="F1061" i="1"/>
  <c r="F1087" i="1" s="1"/>
  <c r="K1059" i="1"/>
  <c r="K1085" i="1" s="1"/>
  <c r="J1059" i="1"/>
  <c r="J1085" i="1" s="1"/>
  <c r="I1059" i="1"/>
  <c r="I1085" i="1" s="1"/>
  <c r="H1059" i="1"/>
  <c r="H1085" i="1" s="1"/>
  <c r="G1059" i="1"/>
  <c r="G1085" i="1" s="1"/>
  <c r="F1059" i="1"/>
  <c r="F1085" i="1" s="1"/>
  <c r="K1057" i="1"/>
  <c r="K1083" i="1" s="1"/>
  <c r="J1057" i="1"/>
  <c r="J1083" i="1" s="1"/>
  <c r="I1057" i="1"/>
  <c r="I1083" i="1" s="1"/>
  <c r="H1057" i="1"/>
  <c r="H1083" i="1" s="1"/>
  <c r="G1057" i="1"/>
  <c r="G1083" i="1" s="1"/>
  <c r="F1057" i="1"/>
  <c r="F1083" i="1" s="1"/>
  <c r="K1056" i="1"/>
  <c r="K1082" i="1" s="1"/>
  <c r="J1056" i="1"/>
  <c r="J1082" i="1" s="1"/>
  <c r="I1056" i="1"/>
  <c r="I1082" i="1" s="1"/>
  <c r="H1056" i="1"/>
  <c r="H1082" i="1" s="1"/>
  <c r="G1056" i="1"/>
  <c r="G1082" i="1" s="1"/>
  <c r="F1056" i="1"/>
  <c r="F1082" i="1" s="1"/>
  <c r="K1054" i="1"/>
  <c r="J1054" i="1"/>
  <c r="I1054" i="1"/>
  <c r="H1054" i="1"/>
  <c r="G1054" i="1"/>
  <c r="F1054" i="1"/>
  <c r="K1053" i="1"/>
  <c r="J1053" i="1"/>
  <c r="I1053" i="1"/>
  <c r="H1053" i="1"/>
  <c r="G1053" i="1"/>
  <c r="F1053" i="1"/>
  <c r="K1046" i="1"/>
  <c r="J1046" i="1"/>
  <c r="I1046" i="1"/>
  <c r="H1046" i="1"/>
  <c r="G1046" i="1"/>
  <c r="F1046" i="1"/>
  <c r="K1040" i="1"/>
  <c r="J1040" i="1"/>
  <c r="I1040" i="1"/>
  <c r="H1040" i="1"/>
  <c r="G1040" i="1"/>
  <c r="F1040" i="1"/>
  <c r="K1033" i="1"/>
  <c r="J1033" i="1"/>
  <c r="I1033" i="1"/>
  <c r="H1033" i="1"/>
  <c r="G1033" i="1"/>
  <c r="F1033" i="1"/>
  <c r="K1028" i="1"/>
  <c r="J1028" i="1"/>
  <c r="I1028" i="1"/>
  <c r="H1028" i="1"/>
  <c r="G1028" i="1"/>
  <c r="F1028" i="1"/>
  <c r="K1013" i="1"/>
  <c r="J1013" i="1"/>
  <c r="I1013" i="1"/>
  <c r="H1013" i="1"/>
  <c r="G1013" i="1"/>
  <c r="F1013" i="1"/>
  <c r="K994" i="1"/>
  <c r="J994" i="1"/>
  <c r="I994" i="1"/>
  <c r="H994" i="1"/>
  <c r="G994" i="1"/>
  <c r="F994" i="1"/>
  <c r="K993" i="1"/>
  <c r="J993" i="1"/>
  <c r="I993" i="1"/>
  <c r="H993" i="1"/>
  <c r="G993" i="1"/>
  <c r="F993" i="1"/>
  <c r="K981" i="1"/>
  <c r="J981" i="1"/>
  <c r="I981" i="1"/>
  <c r="H981" i="1"/>
  <c r="G981" i="1"/>
  <c r="F981" i="1"/>
  <c r="K980" i="1"/>
  <c r="J980" i="1"/>
  <c r="I980" i="1"/>
  <c r="H980" i="1"/>
  <c r="G980" i="1"/>
  <c r="F980" i="1"/>
  <c r="K979" i="1"/>
  <c r="J979" i="1"/>
  <c r="I979" i="1"/>
  <c r="H979" i="1"/>
  <c r="G979" i="1"/>
  <c r="F979" i="1"/>
  <c r="K978" i="1"/>
  <c r="J978" i="1"/>
  <c r="I978" i="1"/>
  <c r="H978" i="1"/>
  <c r="G978" i="1"/>
  <c r="F978" i="1"/>
  <c r="K971" i="1"/>
  <c r="J971" i="1"/>
  <c r="I971" i="1"/>
  <c r="H971" i="1"/>
  <c r="G971" i="1"/>
  <c r="F971" i="1"/>
  <c r="K970" i="1"/>
  <c r="J970" i="1"/>
  <c r="I970" i="1"/>
  <c r="H970" i="1"/>
  <c r="G970" i="1"/>
  <c r="F970" i="1"/>
  <c r="K951" i="1"/>
  <c r="J951" i="1"/>
  <c r="I951" i="1"/>
  <c r="H951" i="1"/>
  <c r="G951" i="1"/>
  <c r="F951" i="1"/>
  <c r="K950" i="1"/>
  <c r="J950" i="1"/>
  <c r="I950" i="1"/>
  <c r="H950" i="1"/>
  <c r="G950" i="1"/>
  <c r="F950" i="1"/>
  <c r="K948" i="1"/>
  <c r="J948" i="1"/>
  <c r="I948" i="1"/>
  <c r="H948" i="1"/>
  <c r="G948" i="1"/>
  <c r="F948" i="1"/>
  <c r="K946" i="1"/>
  <c r="J946" i="1"/>
  <c r="I946" i="1"/>
  <c r="H946" i="1"/>
  <c r="G946" i="1"/>
  <c r="F946" i="1"/>
  <c r="K944" i="1"/>
  <c r="J944" i="1"/>
  <c r="I944" i="1"/>
  <c r="H944" i="1"/>
  <c r="G944" i="1"/>
  <c r="F944" i="1"/>
  <c r="K942" i="1"/>
  <c r="J942" i="1"/>
  <c r="I942" i="1"/>
  <c r="H942" i="1"/>
  <c r="G942" i="1"/>
  <c r="F942" i="1"/>
  <c r="K936" i="1"/>
  <c r="J936" i="1"/>
  <c r="I936" i="1"/>
  <c r="H936" i="1"/>
  <c r="G936" i="1"/>
  <c r="F936" i="1"/>
  <c r="K934" i="1"/>
  <c r="J934" i="1"/>
  <c r="I934" i="1"/>
  <c r="H934" i="1"/>
  <c r="G934" i="1"/>
  <c r="F934" i="1"/>
  <c r="K933" i="1"/>
  <c r="J933" i="1"/>
  <c r="I933" i="1"/>
  <c r="H933" i="1"/>
  <c r="G933" i="1"/>
  <c r="F933" i="1"/>
  <c r="K932" i="1"/>
  <c r="J932" i="1"/>
  <c r="I932" i="1"/>
  <c r="H932" i="1"/>
  <c r="G932" i="1"/>
  <c r="F932" i="1"/>
  <c r="K930" i="1"/>
  <c r="J930" i="1"/>
  <c r="I930" i="1"/>
  <c r="H930" i="1"/>
  <c r="G930" i="1"/>
  <c r="F930" i="1"/>
  <c r="K928" i="1"/>
  <c r="J928" i="1"/>
  <c r="I928" i="1"/>
  <c r="H928" i="1"/>
  <c r="G928" i="1"/>
  <c r="F928" i="1"/>
  <c r="K927" i="1"/>
  <c r="J927" i="1"/>
  <c r="I927" i="1"/>
  <c r="H927" i="1"/>
  <c r="G927" i="1"/>
  <c r="F927" i="1"/>
  <c r="K924" i="1"/>
  <c r="J924" i="1"/>
  <c r="I924" i="1"/>
  <c r="H924" i="1"/>
  <c r="G924" i="1"/>
  <c r="F924" i="1"/>
  <c r="K920" i="1"/>
  <c r="J920" i="1"/>
  <c r="I920" i="1"/>
  <c r="H920" i="1"/>
  <c r="G920" i="1"/>
  <c r="F920" i="1"/>
  <c r="K917" i="1"/>
  <c r="J917" i="1"/>
  <c r="I917" i="1"/>
  <c r="H917" i="1"/>
  <c r="G917" i="1"/>
  <c r="F917" i="1"/>
  <c r="K916" i="1"/>
  <c r="J916" i="1"/>
  <c r="I916" i="1"/>
  <c r="H916" i="1"/>
  <c r="G916" i="1"/>
  <c r="F916" i="1"/>
  <c r="K904" i="1"/>
  <c r="J904" i="1"/>
  <c r="I904" i="1"/>
  <c r="H904" i="1"/>
  <c r="G904" i="1"/>
  <c r="F904" i="1"/>
  <c r="K903" i="1"/>
  <c r="J903" i="1"/>
  <c r="I903" i="1"/>
  <c r="H903" i="1"/>
  <c r="G903" i="1"/>
  <c r="F903" i="1"/>
  <c r="K902" i="1"/>
  <c r="J902" i="1"/>
  <c r="I902" i="1"/>
  <c r="I899" i="1" s="1"/>
  <c r="H902" i="1"/>
  <c r="H899" i="1" s="1"/>
  <c r="G902" i="1"/>
  <c r="G899" i="1" s="1"/>
  <c r="F902" i="1"/>
  <c r="K899" i="1"/>
  <c r="J899" i="1"/>
  <c r="F899" i="1"/>
  <c r="K896" i="1"/>
  <c r="J896" i="1"/>
  <c r="I896" i="1"/>
  <c r="H896" i="1"/>
  <c r="G896" i="1"/>
  <c r="F896" i="1"/>
  <c r="K895" i="1"/>
  <c r="J895" i="1"/>
  <c r="I895" i="1"/>
  <c r="H895" i="1"/>
  <c r="G895" i="1"/>
  <c r="F895" i="1"/>
  <c r="K893" i="1"/>
  <c r="J893" i="1"/>
  <c r="I893" i="1"/>
  <c r="H893" i="1"/>
  <c r="G893" i="1"/>
  <c r="K891" i="1"/>
  <c r="J891" i="1"/>
  <c r="I891" i="1"/>
  <c r="H891" i="1"/>
  <c r="G891" i="1"/>
  <c r="F891" i="1"/>
  <c r="K888" i="1"/>
  <c r="J888" i="1"/>
  <c r="I888" i="1"/>
  <c r="H888" i="1"/>
  <c r="G888" i="1"/>
  <c r="F888" i="1"/>
  <c r="K884" i="1"/>
  <c r="J884" i="1"/>
  <c r="I884" i="1"/>
  <c r="H884" i="1"/>
  <c r="G884" i="1"/>
  <c r="F884" i="1"/>
  <c r="K881" i="1"/>
  <c r="J881" i="1"/>
  <c r="I881" i="1"/>
  <c r="H881" i="1"/>
  <c r="G881" i="1"/>
  <c r="F881" i="1"/>
  <c r="F1893" i="1" a="1"/>
  <c r="F1893" i="1" s="1"/>
  <c r="H1889" i="1" a="1"/>
  <c r="H1889" i="1" s="1"/>
  <c r="F1888" i="1" a="1"/>
  <c r="F1888" i="1" s="1"/>
  <c r="G1895" i="1" a="1"/>
  <c r="G1895" i="1" s="1"/>
  <c r="K1887" i="1" a="1"/>
  <c r="K1887" i="1" s="1"/>
  <c r="F1895" i="1" a="1"/>
  <c r="F1895" i="1" s="1"/>
  <c r="I1889" i="1" a="1"/>
  <c r="I1889" i="1" s="1"/>
  <c r="H1888" i="1" a="1"/>
  <c r="H1888" i="1" s="1"/>
  <c r="K1897" i="1" a="1"/>
  <c r="K1897" i="1" s="1"/>
  <c r="I1895" i="1" a="1"/>
  <c r="I1895" i="1" s="1"/>
  <c r="K1889" i="1" a="1"/>
  <c r="K1889" i="1" s="1"/>
  <c r="I1888" i="1" a="1"/>
  <c r="I1888" i="1" s="1"/>
  <c r="J1891" i="1" a="1"/>
  <c r="J1891" i="1" s="1"/>
  <c r="I1897" i="1" a="1"/>
  <c r="I1897" i="1" s="1"/>
  <c r="H1893" i="1" a="1"/>
  <c r="H1893" i="1" s="1"/>
  <c r="G1897" i="1" a="1"/>
  <c r="G1897" i="1" s="1"/>
  <c r="H1891" i="1" a="1"/>
  <c r="H1891" i="1" s="1"/>
  <c r="H1897" i="1" a="1"/>
  <c r="H1897" i="1" s="1"/>
  <c r="K1895" i="1" a="1"/>
  <c r="K1895" i="1" s="1"/>
  <c r="F1897" i="1" a="1"/>
  <c r="F1897" i="1" s="1"/>
  <c r="G1889" i="1" a="1"/>
  <c r="G1889" i="1" s="1"/>
  <c r="H1895" i="1" a="1"/>
  <c r="H1895" i="1" s="1"/>
  <c r="K1893" i="1" a="1"/>
  <c r="K1893" i="1" s="1"/>
  <c r="J1893" i="1" a="1"/>
  <c r="J1893" i="1" s="1"/>
  <c r="I1891" i="1" a="1"/>
  <c r="I1891" i="1" s="1"/>
  <c r="J1887" i="1" a="1"/>
  <c r="J1887" i="1" s="1"/>
  <c r="I1893" i="1" a="1"/>
  <c r="I1893" i="1" s="1"/>
  <c r="G1893" i="1" a="1"/>
  <c r="G1893" i="1" s="1"/>
  <c r="G1888" i="1" a="1"/>
  <c r="G1888" i="1" s="1"/>
  <c r="K1891" i="1" a="1"/>
  <c r="K1891" i="1" s="1"/>
  <c r="G1891" i="1" a="1"/>
  <c r="G1891" i="1" s="1"/>
  <c r="J1888" i="1" a="1"/>
  <c r="J1888" i="1" s="1"/>
  <c r="K1888" i="1" a="1"/>
  <c r="K1888" i="1" s="1"/>
  <c r="F1889" i="1" a="1"/>
  <c r="F1889" i="1" s="1"/>
  <c r="J1897" i="1" a="1"/>
  <c r="J1897" i="1" s="1"/>
  <c r="J1889" i="1" a="1"/>
  <c r="J1889" i="1" s="1"/>
  <c r="F1891" i="1" a="1"/>
  <c r="F1891" i="1" s="1"/>
  <c r="J1895" i="1" a="1"/>
  <c r="J1895" i="1" s="1"/>
  <c r="J1875" i="1" a="1"/>
  <c r="J1875" i="1" s="1"/>
  <c r="F1885" i="1" a="1"/>
  <c r="F1885" i="1" s="1"/>
  <c r="J1877" i="1" a="1"/>
  <c r="J1877" i="1" s="1"/>
  <c r="K1882" i="1" a="1"/>
  <c r="K1882" i="1" s="1"/>
  <c r="I1873" i="1" a="1"/>
  <c r="I1873" i="1" s="1"/>
  <c r="K1879" i="1" a="1"/>
  <c r="K1879" i="1" s="1"/>
  <c r="G1887" i="1" a="1"/>
  <c r="G1887" i="1" s="1"/>
  <c r="H1877" i="1" a="1"/>
  <c r="H1877" i="1" s="1"/>
  <c r="I1879" i="1" a="1"/>
  <c r="I1879" i="1" s="1"/>
  <c r="G1885" i="1" a="1"/>
  <c r="G1885" i="1" s="1"/>
  <c r="H1875" i="1" a="1"/>
  <c r="H1875" i="1" s="1"/>
  <c r="G1875" i="1" a="1"/>
  <c r="G1875" i="1" s="1"/>
  <c r="H1882" i="1" a="1"/>
  <c r="H1882" i="1" s="1"/>
  <c r="K1875" i="1" a="1"/>
  <c r="K1875" i="1" s="1"/>
  <c r="H1873" i="1" a="1"/>
  <c r="H1873" i="1" s="1"/>
  <c r="G1873" i="1" a="1"/>
  <c r="G1873" i="1" s="1"/>
  <c r="K1877" i="1" a="1"/>
  <c r="K1877" i="1" s="1"/>
  <c r="K1873" i="1" a="1"/>
  <c r="K1873" i="1" s="1"/>
  <c r="J1879" i="1" a="1"/>
  <c r="J1879" i="1" s="1"/>
  <c r="F1883" i="1" a="1"/>
  <c r="F1883" i="1" s="1"/>
  <c r="J1871" i="1" a="1"/>
  <c r="J1871" i="1" s="1"/>
  <c r="K1885" i="1" a="1"/>
  <c r="K1885" i="1" s="1"/>
  <c r="I1882" i="1" a="1"/>
  <c r="I1882" i="1" s="1"/>
  <c r="F1882" i="1" a="1"/>
  <c r="F1882" i="1" s="1"/>
  <c r="I1887" i="1" a="1"/>
  <c r="I1887" i="1" s="1"/>
  <c r="H1885" i="1" a="1"/>
  <c r="H1885" i="1" s="1"/>
  <c r="J1885" i="1" a="1"/>
  <c r="J1885" i="1" s="1"/>
  <c r="K1883" i="1" a="1"/>
  <c r="K1883" i="1" s="1"/>
  <c r="G1879" i="1" a="1"/>
  <c r="G1879" i="1" s="1"/>
  <c r="H1887" i="1" a="1"/>
  <c r="H1887" i="1" s="1"/>
  <c r="I1883" i="1" a="1"/>
  <c r="I1883" i="1" s="1"/>
  <c r="G1882" i="1" a="1"/>
  <c r="G1882" i="1" s="1"/>
  <c r="G1877" i="1" a="1"/>
  <c r="G1877" i="1" s="1"/>
  <c r="F1887" i="1" a="1"/>
  <c r="F1887" i="1" s="1"/>
  <c r="J1873" i="1" a="1"/>
  <c r="J1873" i="1" s="1"/>
  <c r="H1883" i="1" a="1"/>
  <c r="H1883" i="1" s="1"/>
  <c r="G1883" i="1" a="1"/>
  <c r="G1883" i="1" s="1"/>
  <c r="F1879" i="1" a="1"/>
  <c r="F1879" i="1" s="1"/>
  <c r="J1882" i="1" a="1"/>
  <c r="J1882" i="1" s="1"/>
  <c r="I1875" i="1" a="1"/>
  <c r="I1875" i="1" s="1"/>
  <c r="F1877" i="1" a="1"/>
  <c r="F1877" i="1" s="1"/>
  <c r="K1871" i="1" a="1"/>
  <c r="K1871" i="1" s="1"/>
  <c r="I1885" i="1" a="1"/>
  <c r="I1885" i="1" s="1"/>
  <c r="H1879" i="1" a="1"/>
  <c r="H1879" i="1" s="1"/>
  <c r="F1875" i="1" a="1"/>
  <c r="F1875" i="1" s="1"/>
  <c r="F1873" i="1" a="1"/>
  <c r="F1873" i="1" s="1"/>
  <c r="J1883" i="1" a="1"/>
  <c r="J1883" i="1" s="1"/>
  <c r="I1877" i="1" a="1"/>
  <c r="I1877" i="1" s="1"/>
  <c r="J1856" i="1" a="1"/>
  <c r="J1856" i="1" s="1"/>
  <c r="K1859" i="1" a="1"/>
  <c r="K1859" i="1" s="1"/>
  <c r="J1867" i="1" a="1"/>
  <c r="J1867" i="1" s="1"/>
  <c r="H1862" i="1" a="1"/>
  <c r="H1862" i="1" s="1"/>
  <c r="K1866" i="1" a="1"/>
  <c r="K1866" i="1" s="1"/>
  <c r="G1862" i="1" a="1"/>
  <c r="G1862" i="1" s="1"/>
  <c r="K1865" i="1" a="1"/>
  <c r="K1865" i="1" s="1"/>
  <c r="I1865" i="1" a="1"/>
  <c r="I1865" i="1" s="1"/>
  <c r="G1865" i="1" a="1"/>
  <c r="G1865" i="1" s="1"/>
  <c r="G1863" i="1" a="1"/>
  <c r="G1863" i="1" s="1"/>
  <c r="K1863" i="1" a="1"/>
  <c r="K1863" i="1" s="1"/>
  <c r="I1859" i="1" a="1"/>
  <c r="I1859" i="1" s="1"/>
  <c r="K1860" i="1" a="1"/>
  <c r="K1860" i="1" s="1"/>
  <c r="G1859" i="1" a="1"/>
  <c r="G1859" i="1" s="1"/>
  <c r="I1866" i="1" a="1"/>
  <c r="I1866" i="1" s="1"/>
  <c r="H1865" i="1" a="1"/>
  <c r="H1865" i="1" s="1"/>
  <c r="F1860" i="1" a="1"/>
  <c r="F1860" i="1" s="1"/>
  <c r="H1859" i="1" a="1"/>
  <c r="H1859" i="1" s="1"/>
  <c r="J1869" i="1" a="1"/>
  <c r="J1869" i="1" s="1"/>
  <c r="K1862" i="1" a="1"/>
  <c r="K1862" i="1" s="1"/>
  <c r="F1869" i="1" a="1"/>
  <c r="F1869" i="1" s="1"/>
  <c r="H1863" i="1" a="1"/>
  <c r="H1863" i="1" s="1"/>
  <c r="I1871" i="1" a="1"/>
  <c r="I1871" i="1" s="1"/>
  <c r="F1863" i="1" a="1"/>
  <c r="F1863" i="1" s="1"/>
  <c r="H1871" i="1" a="1"/>
  <c r="H1871" i="1" s="1"/>
  <c r="J1863" i="1" a="1"/>
  <c r="J1863" i="1" s="1"/>
  <c r="G1871" i="1" a="1"/>
  <c r="G1871" i="1" s="1"/>
  <c r="H1866" i="1" a="1"/>
  <c r="H1866" i="1" s="1"/>
  <c r="K1869" i="1" a="1"/>
  <c r="K1869" i="1" s="1"/>
  <c r="G1869" i="1" a="1"/>
  <c r="G1869" i="1" s="1"/>
  <c r="G1866" i="1" a="1"/>
  <c r="G1866" i="1" s="1"/>
  <c r="F1871" i="1" a="1"/>
  <c r="F1871" i="1" s="1"/>
  <c r="I1867" i="1" a="1"/>
  <c r="I1867" i="1" s="1"/>
  <c r="H1867" i="1" a="1"/>
  <c r="H1867" i="1" s="1"/>
  <c r="F1867" i="1" a="1"/>
  <c r="F1867" i="1" s="1"/>
  <c r="I1860" i="1" a="1"/>
  <c r="I1860" i="1" s="1"/>
  <c r="K1856" i="1" a="1"/>
  <c r="K1856" i="1" s="1"/>
  <c r="I1856" i="1" a="1"/>
  <c r="I1856" i="1" s="1"/>
  <c r="J1866" i="1" a="1"/>
  <c r="J1866" i="1" s="1"/>
  <c r="F1865" i="1" a="1"/>
  <c r="F1865" i="1" s="1"/>
  <c r="J1862" i="1" a="1"/>
  <c r="J1862" i="1" s="1"/>
  <c r="F1862" i="1" a="1"/>
  <c r="F1862" i="1" s="1"/>
  <c r="G1860" i="1" a="1"/>
  <c r="G1860" i="1" s="1"/>
  <c r="F1859" i="1" a="1"/>
  <c r="F1859" i="1" s="1"/>
  <c r="G1867" i="1" a="1"/>
  <c r="G1867" i="1" s="1"/>
  <c r="I1863" i="1" a="1"/>
  <c r="I1863" i="1" s="1"/>
  <c r="J1865" i="1" a="1"/>
  <c r="J1865" i="1" s="1"/>
  <c r="J1859" i="1" a="1"/>
  <c r="J1859" i="1" s="1"/>
  <c r="I1869" i="1" a="1"/>
  <c r="I1869" i="1" s="1"/>
  <c r="H1860" i="1" a="1"/>
  <c r="H1860" i="1" s="1"/>
  <c r="H1869" i="1" a="1"/>
  <c r="H1869" i="1" s="1"/>
  <c r="J1860" i="1" a="1"/>
  <c r="J1860" i="1" s="1"/>
  <c r="F1866" i="1" a="1"/>
  <c r="F1866" i="1" s="1"/>
  <c r="I1862" i="1" a="1"/>
  <c r="I1862" i="1" s="1"/>
  <c r="K1867" i="1" a="1"/>
  <c r="K1867" i="1" s="1"/>
  <c r="J1848" i="1" a="1"/>
  <c r="J1848" i="1" s="1"/>
  <c r="I1852" i="1" a="1"/>
  <c r="I1852" i="1" s="1"/>
  <c r="F1848" i="1" a="1"/>
  <c r="F1848" i="1" s="1"/>
  <c r="H1850" i="1" a="1"/>
  <c r="H1850" i="1" s="1"/>
  <c r="I1850" i="1" a="1"/>
  <c r="I1850" i="1" s="1"/>
  <c r="H1854" i="1" a="1"/>
  <c r="H1854" i="1" s="1"/>
  <c r="G1854" i="1" a="1"/>
  <c r="G1854" i="1" s="1"/>
  <c r="K1852" i="1" a="1"/>
  <c r="K1852" i="1" s="1"/>
  <c r="K1850" i="1" a="1"/>
  <c r="K1850" i="1" s="1"/>
  <c r="H1856" i="1" a="1"/>
  <c r="H1856" i="1" s="1"/>
  <c r="G1856" i="1" a="1"/>
  <c r="G1856" i="1" s="1"/>
  <c r="F1856" i="1" a="1"/>
  <c r="F1856" i="1" s="1"/>
  <c r="G1850" i="1" a="1"/>
  <c r="G1850" i="1" s="1"/>
  <c r="I1848" i="1" a="1"/>
  <c r="I1848" i="1" s="1"/>
  <c r="H1848" i="1" a="1"/>
  <c r="H1848" i="1" s="1"/>
  <c r="G1852" i="1" a="1"/>
  <c r="G1852" i="1" s="1"/>
  <c r="F1852" i="1" a="1"/>
  <c r="F1852" i="1" s="1"/>
  <c r="K1848" i="1" a="1"/>
  <c r="K1848" i="1" s="1"/>
  <c r="H1852" i="1" a="1"/>
  <c r="H1852" i="1" s="1"/>
  <c r="J1846" i="1" a="1"/>
  <c r="J1846" i="1" s="1"/>
  <c r="K1854" i="1" a="1"/>
  <c r="K1854" i="1" s="1"/>
  <c r="I1854" i="1" a="1"/>
  <c r="I1854" i="1" s="1"/>
  <c r="J1854" i="1" a="1"/>
  <c r="J1854" i="1" s="1"/>
  <c r="F1850" i="1" a="1"/>
  <c r="F1850" i="1" s="1"/>
  <c r="F1854" i="1" a="1"/>
  <c r="F1854" i="1" s="1"/>
  <c r="J1850" i="1" a="1"/>
  <c r="J1850" i="1" s="1"/>
  <c r="G1848" i="1" a="1"/>
  <c r="G1848" i="1" s="1"/>
  <c r="K1846" i="1" a="1"/>
  <c r="K1846" i="1" s="1"/>
  <c r="J1852" i="1" a="1"/>
  <c r="J1852" i="1" s="1"/>
  <c r="I1840" i="1" a="1"/>
  <c r="I1840" i="1" s="1"/>
  <c r="H1845" i="1" a="1"/>
  <c r="H1845" i="1" s="1"/>
  <c r="G1845" i="1" a="1"/>
  <c r="G1845" i="1" s="1"/>
  <c r="F1845" i="1" a="1"/>
  <c r="F1845" i="1" s="1"/>
  <c r="J1837" i="1" a="1"/>
  <c r="J1837" i="1" s="1"/>
  <c r="J1843" i="1" a="1"/>
  <c r="J1843" i="1" s="1"/>
  <c r="K1840" i="1" a="1"/>
  <c r="K1840" i="1" s="1"/>
  <c r="H1843" i="1" a="1"/>
  <c r="H1843" i="1" s="1"/>
  <c r="F1843" i="1" a="1"/>
  <c r="F1843" i="1" s="1"/>
  <c r="I1841" i="1" a="1"/>
  <c r="I1841" i="1" s="1"/>
  <c r="H1840" i="1" a="1"/>
  <c r="H1840" i="1" s="1"/>
  <c r="K1841" i="1" a="1"/>
  <c r="K1841" i="1" s="1"/>
  <c r="G1840" i="1" a="1"/>
  <c r="G1840" i="1" s="1"/>
  <c r="H1841" i="1" a="1"/>
  <c r="H1841" i="1" s="1"/>
  <c r="G1841" i="1" a="1"/>
  <c r="G1841" i="1" s="1"/>
  <c r="K1845" i="1" a="1"/>
  <c r="K1845" i="1" s="1"/>
  <c r="H1837" i="1" a="1"/>
  <c r="H1837" i="1" s="1"/>
  <c r="J1841" i="1" a="1"/>
  <c r="J1841" i="1" s="1"/>
  <c r="I1843" i="1" a="1"/>
  <c r="I1843" i="1" s="1"/>
  <c r="J1840" i="1" a="1"/>
  <c r="J1840" i="1" s="1"/>
  <c r="F1841" i="1" a="1"/>
  <c r="F1841" i="1" s="1"/>
  <c r="I1837" i="1" a="1"/>
  <c r="I1837" i="1" s="1"/>
  <c r="G1846" i="1" a="1"/>
  <c r="G1846" i="1" s="1"/>
  <c r="I1845" i="1" a="1"/>
  <c r="I1845" i="1" s="1"/>
  <c r="G1843" i="1" a="1"/>
  <c r="G1843" i="1" s="1"/>
  <c r="F1837" i="1" a="1"/>
  <c r="F1837" i="1" s="1"/>
  <c r="I1846" i="1" a="1"/>
  <c r="I1846" i="1" s="1"/>
  <c r="H1846" i="1" a="1"/>
  <c r="H1846" i="1" s="1"/>
  <c r="G1837" i="1" a="1"/>
  <c r="G1837" i="1" s="1"/>
  <c r="F1846" i="1" a="1"/>
  <c r="F1846" i="1" s="1"/>
  <c r="J1845" i="1" a="1"/>
  <c r="J1845" i="1" s="1"/>
  <c r="F1840" i="1" a="1"/>
  <c r="F1840" i="1" s="1"/>
  <c r="K1843" i="1" a="1"/>
  <c r="K1843" i="1" s="1"/>
  <c r="K1837" i="1" a="1"/>
  <c r="K1837" i="1" s="1"/>
  <c r="J1827" i="1" a="1"/>
  <c r="J1827" i="1" s="1"/>
  <c r="F1824" i="1" a="1"/>
  <c r="F1824" i="1" s="1"/>
  <c r="K1826" i="1" a="1"/>
  <c r="K1826" i="1" s="1"/>
  <c r="G1829" i="1" a="1"/>
  <c r="G1829" i="1" s="1"/>
  <c r="J1835" i="1" a="1"/>
  <c r="J1835" i="1" s="1"/>
  <c r="H1833" i="1" a="1"/>
  <c r="H1833" i="1" s="1"/>
  <c r="K1829" i="1" a="1"/>
  <c r="K1829" i="1" s="1"/>
  <c r="H1827" i="1" a="1"/>
  <c r="H1827" i="1" s="1"/>
  <c r="G1827" i="1" a="1"/>
  <c r="G1827" i="1" s="1"/>
  <c r="G1833" i="1" a="1"/>
  <c r="G1833" i="1" s="1"/>
  <c r="F1833" i="1" a="1"/>
  <c r="F1833" i="1" s="1"/>
  <c r="G1831" i="1" a="1"/>
  <c r="G1831" i="1" s="1"/>
  <c r="F1827" i="1" a="1"/>
  <c r="F1827" i="1" s="1"/>
  <c r="K1835" i="1" a="1"/>
  <c r="K1835" i="1" s="1"/>
  <c r="J1829" i="1" a="1"/>
  <c r="J1829" i="1" s="1"/>
  <c r="I1827" i="1" a="1"/>
  <c r="I1827" i="1" s="1"/>
  <c r="H1824" i="1" a="1"/>
  <c r="H1824" i="1" s="1"/>
  <c r="I1829" i="1" a="1"/>
  <c r="I1829" i="1" s="1"/>
  <c r="K1827" i="1" a="1"/>
  <c r="K1827" i="1" s="1"/>
  <c r="K1822" i="1" a="1"/>
  <c r="K1822" i="1" s="1"/>
  <c r="I1835" i="1" a="1"/>
  <c r="I1835" i="1" s="1"/>
  <c r="I1833" i="1" a="1"/>
  <c r="I1833" i="1" s="1"/>
  <c r="G1835" i="1" a="1"/>
  <c r="G1835" i="1" s="1"/>
  <c r="F1835" i="1" a="1"/>
  <c r="F1835" i="1" s="1"/>
  <c r="I1824" i="1" a="1"/>
  <c r="I1824" i="1" s="1"/>
  <c r="J1833" i="1" a="1"/>
  <c r="J1833" i="1" s="1"/>
  <c r="K1831" i="1" a="1"/>
  <c r="K1831" i="1" s="1"/>
  <c r="I1831" i="1" a="1"/>
  <c r="I1831" i="1" s="1"/>
  <c r="H1826" i="1" a="1"/>
  <c r="H1826" i="1" s="1"/>
  <c r="K1824" i="1" a="1"/>
  <c r="K1824" i="1" s="1"/>
  <c r="F1829" i="1" a="1"/>
  <c r="F1829" i="1" s="1"/>
  <c r="I1826" i="1" a="1"/>
  <c r="I1826" i="1" s="1"/>
  <c r="G1824" i="1" a="1"/>
  <c r="G1824" i="1" s="1"/>
  <c r="H1831" i="1" a="1"/>
  <c r="H1831" i="1" s="1"/>
  <c r="F1826" i="1" a="1"/>
  <c r="F1826" i="1" s="1"/>
  <c r="J1822" i="1" a="1"/>
  <c r="J1822" i="1" s="1"/>
  <c r="F1831" i="1" a="1"/>
  <c r="F1831" i="1" s="1"/>
  <c r="H1835" i="1" a="1"/>
  <c r="H1835" i="1" s="1"/>
  <c r="G1826" i="1" a="1"/>
  <c r="G1826" i="1" s="1"/>
  <c r="J1826" i="1" a="1"/>
  <c r="J1826" i="1" s="1"/>
  <c r="K1833" i="1" a="1"/>
  <c r="K1833" i="1" s="1"/>
  <c r="J1831" i="1" a="1"/>
  <c r="J1831" i="1" s="1"/>
  <c r="H1829" i="1" a="1"/>
  <c r="H1829" i="1" s="1"/>
  <c r="J1824" i="1" a="1"/>
  <c r="J1824" i="1" s="1"/>
  <c r="I1821" i="1" a="1"/>
  <c r="I1821" i="1" s="1"/>
  <c r="H1821" i="1" a="1"/>
  <c r="H1821" i="1" s="1"/>
  <c r="F1821" i="1" a="1"/>
  <c r="F1821" i="1" s="1"/>
  <c r="I1822" i="1" a="1"/>
  <c r="I1822" i="1" s="1"/>
  <c r="G1822" i="1" a="1"/>
  <c r="G1822" i="1" s="1"/>
  <c r="K1821" i="1" a="1"/>
  <c r="K1821" i="1" s="1"/>
  <c r="G1821" i="1" a="1"/>
  <c r="G1821" i="1" s="1"/>
  <c r="H1822" i="1" a="1"/>
  <c r="H1822" i="1" s="1"/>
  <c r="F1822" i="1" a="1"/>
  <c r="F1822" i="1" s="1"/>
  <c r="J1821" i="1" a="1"/>
  <c r="J1821" i="1" s="1"/>
  <c r="I1030" i="1" a="1"/>
  <c r="I1030" i="1" s="1"/>
  <c r="F1037" i="1" a="1"/>
  <c r="F1037" i="1" s="1"/>
  <c r="J1039" i="1" a="1"/>
  <c r="J1039" i="1" s="1"/>
  <c r="J1037" i="1" a="1"/>
  <c r="J1037" i="1" s="1"/>
  <c r="K1037" i="1" a="1"/>
  <c r="K1037" i="1" s="1"/>
  <c r="K1025" i="1" a="1"/>
  <c r="K1025" i="1" s="1"/>
  <c r="H1027" i="1" a="1"/>
  <c r="H1027" i="1" s="1"/>
  <c r="I1039" i="1" a="1"/>
  <c r="I1039" i="1" s="1"/>
  <c r="G1039" i="1" a="1"/>
  <c r="G1039" i="1" s="1"/>
  <c r="G1027" i="1" a="1"/>
  <c r="G1027" i="1" s="1"/>
  <c r="G1030" i="1" a="1"/>
  <c r="G1030" i="1" s="1"/>
  <c r="I1025" i="1" a="1"/>
  <c r="I1025" i="1" s="1"/>
  <c r="J1030" i="1" a="1"/>
  <c r="J1030" i="1" s="1"/>
  <c r="I1027" i="1" a="1"/>
  <c r="I1027" i="1" s="1"/>
  <c r="K1039" i="1" a="1"/>
  <c r="K1039" i="1" s="1"/>
  <c r="F1030" i="1" a="1"/>
  <c r="F1030" i="1" s="1"/>
  <c r="H1037" i="1" a="1"/>
  <c r="H1037" i="1" s="1"/>
  <c r="K1030" i="1" a="1"/>
  <c r="K1030" i="1" s="1"/>
  <c r="I1037" i="1" a="1"/>
  <c r="I1037" i="1" s="1"/>
  <c r="F1039" i="1" a="1"/>
  <c r="F1039" i="1" s="1"/>
  <c r="F1027" i="1" a="1"/>
  <c r="F1027" i="1" s="1"/>
  <c r="G1037" i="1" a="1"/>
  <c r="G1037" i="1" s="1"/>
  <c r="H1039" i="1" a="1"/>
  <c r="H1039" i="1" s="1"/>
  <c r="K1027" i="1" a="1"/>
  <c r="K1027" i="1" s="1"/>
  <c r="H1030" i="1" a="1"/>
  <c r="H1030" i="1" s="1"/>
  <c r="J1027" i="1" a="1"/>
  <c r="J1027" i="1" s="1"/>
  <c r="J1025" i="1" a="1"/>
  <c r="J1025" i="1" s="1"/>
  <c r="I1006" i="1" a="1"/>
  <c r="I1006" i="1" s="1"/>
  <c r="I1052" i="1" s="1" a="1"/>
  <c r="I1052" i="1" s="1"/>
  <c r="I997" i="1" a="1"/>
  <c r="I997" i="1" s="1"/>
  <c r="I1049" i="1" s="1" a="1"/>
  <c r="I1049" i="1" s="1"/>
  <c r="H1025" i="1" a="1"/>
  <c r="H1025" i="1" s="1"/>
  <c r="G1025" i="1" a="1"/>
  <c r="G1025" i="1" s="1"/>
  <c r="F1025" i="1" a="1"/>
  <c r="F1025" i="1" s="1"/>
  <c r="F1006" i="1" a="1"/>
  <c r="F1006" i="1" s="1"/>
  <c r="F1052" i="1" s="1" a="1"/>
  <c r="F1052" i="1" s="1"/>
  <c r="F996" i="1" a="1"/>
  <c r="F996" i="1" s="1"/>
  <c r="J1006" i="1" a="1"/>
  <c r="J1006" i="1" s="1"/>
  <c r="J1052" i="1" s="1" a="1"/>
  <c r="J1052" i="1" s="1"/>
  <c r="J989" i="1" a="1"/>
  <c r="J989" i="1" s="1"/>
  <c r="J1022" i="1" a="1"/>
  <c r="J1022" i="1" s="1"/>
  <c r="H996" i="1" a="1"/>
  <c r="H996" i="1" s="1"/>
  <c r="F997" i="1" a="1"/>
  <c r="F997" i="1" s="1"/>
  <c r="F1049" i="1" s="1" a="1"/>
  <c r="F1049" i="1" s="1"/>
  <c r="K996" i="1" a="1"/>
  <c r="K996" i="1" s="1"/>
  <c r="J996" i="1" a="1"/>
  <c r="J996" i="1" s="1"/>
  <c r="H1006" i="1" a="1"/>
  <c r="H1006" i="1" s="1"/>
  <c r="H1052" i="1" s="1" a="1"/>
  <c r="H1052" i="1" s="1"/>
  <c r="J997" i="1" a="1"/>
  <c r="J997" i="1" s="1"/>
  <c r="J1049" i="1" s="1" a="1"/>
  <c r="J1049" i="1" s="1"/>
  <c r="I1022" i="1" a="1"/>
  <c r="I1022" i="1" s="1"/>
  <c r="H1022" i="1" a="1"/>
  <c r="H1022" i="1" s="1"/>
  <c r="G1006" i="1" a="1"/>
  <c r="G1006" i="1" s="1"/>
  <c r="G1052" i="1" s="1" a="1"/>
  <c r="G1052" i="1" s="1"/>
  <c r="G996" i="1" a="1"/>
  <c r="G996" i="1" s="1"/>
  <c r="K1022" i="1" a="1"/>
  <c r="K1022" i="1" s="1"/>
  <c r="G1022" i="1" a="1"/>
  <c r="G1022" i="1" s="1"/>
  <c r="K997" i="1" a="1"/>
  <c r="K997" i="1" s="1"/>
  <c r="K1049" i="1" s="1" a="1"/>
  <c r="K1049" i="1" s="1"/>
  <c r="F1022" i="1" a="1"/>
  <c r="F1022" i="1" s="1"/>
  <c r="H997" i="1" a="1"/>
  <c r="H997" i="1" s="1"/>
  <c r="H1049" i="1" s="1" a="1"/>
  <c r="H1049" i="1" s="1"/>
  <c r="K1006" i="1" a="1"/>
  <c r="K1006" i="1" s="1"/>
  <c r="K1052" i="1" s="1" a="1"/>
  <c r="K1052" i="1" s="1"/>
  <c r="K989" i="1" a="1"/>
  <c r="K989" i="1" s="1"/>
  <c r="I996" i="1" a="1"/>
  <c r="I996" i="1" s="1"/>
  <c r="G997" i="1" a="1"/>
  <c r="G997" i="1" s="1"/>
  <c r="G1049" i="1" s="1" a="1"/>
  <c r="G1049" i="1" s="1"/>
  <c r="F977" i="1" a="1"/>
  <c r="F977" i="1" s="1"/>
  <c r="F1051" i="1" s="1" a="1"/>
  <c r="F1051" i="1" s="1"/>
  <c r="K974" i="1" a="1"/>
  <c r="K974" i="1" s="1"/>
  <c r="F974" i="1" a="1"/>
  <c r="F974" i="1" s="1"/>
  <c r="J973" i="1" a="1"/>
  <c r="J973" i="1" s="1"/>
  <c r="G973" i="1" a="1"/>
  <c r="G973" i="1" s="1"/>
  <c r="K973" i="1" a="1"/>
  <c r="K973" i="1" s="1"/>
  <c r="I989" i="1" a="1"/>
  <c r="I989" i="1" s="1"/>
  <c r="H989" i="1" a="1"/>
  <c r="H989" i="1" s="1"/>
  <c r="G989" i="1" a="1"/>
  <c r="G989" i="1" s="1"/>
  <c r="F989" i="1" a="1"/>
  <c r="F989" i="1" s="1"/>
  <c r="G974" i="1" a="1"/>
  <c r="G974" i="1" s="1"/>
  <c r="J983" i="1" a="1"/>
  <c r="J983" i="1" s="1"/>
  <c r="H983" i="1" a="1"/>
  <c r="H983" i="1" s="1"/>
  <c r="F983" i="1" a="1"/>
  <c r="F983" i="1" s="1"/>
  <c r="I977" i="1" a="1"/>
  <c r="I977" i="1" s="1"/>
  <c r="I1051" i="1" s="1" a="1"/>
  <c r="I1051" i="1" s="1"/>
  <c r="J976" i="1" a="1"/>
  <c r="J976" i="1" s="1"/>
  <c r="F973" i="1" a="1"/>
  <c r="F973" i="1" s="1"/>
  <c r="K976" i="1" a="1"/>
  <c r="K976" i="1" s="1"/>
  <c r="I976" i="1" a="1"/>
  <c r="I976" i="1" s="1"/>
  <c r="H973" i="1" a="1"/>
  <c r="H973" i="1" s="1"/>
  <c r="F976" i="1" a="1"/>
  <c r="F976" i="1" s="1"/>
  <c r="I973" i="1" a="1"/>
  <c r="I973" i="1" s="1"/>
  <c r="G983" i="1" a="1"/>
  <c r="G983" i="1" s="1"/>
  <c r="H976" i="1" a="1"/>
  <c r="H976" i="1" s="1"/>
  <c r="H977" i="1" a="1"/>
  <c r="H977" i="1" s="1"/>
  <c r="H1051" i="1" s="1" a="1"/>
  <c r="H1051" i="1" s="1"/>
  <c r="J977" i="1" a="1"/>
  <c r="J977" i="1" s="1"/>
  <c r="J1051" i="1" s="1" a="1"/>
  <c r="J1051" i="1" s="1"/>
  <c r="I983" i="1" a="1"/>
  <c r="I983" i="1" s="1"/>
  <c r="G976" i="1" a="1"/>
  <c r="G976" i="1" s="1"/>
  <c r="J974" i="1" a="1"/>
  <c r="J974" i="1" s="1"/>
  <c r="K977" i="1" a="1"/>
  <c r="K977" i="1" s="1"/>
  <c r="K1051" i="1" s="1" a="1"/>
  <c r="K1051" i="1" s="1"/>
  <c r="K983" i="1" a="1"/>
  <c r="K983" i="1" s="1"/>
  <c r="H974" i="1" a="1"/>
  <c r="H974" i="1" s="1"/>
  <c r="G977" i="1" a="1"/>
  <c r="G977" i="1" s="1"/>
  <c r="G1051" i="1" s="1" a="1"/>
  <c r="G1051" i="1" s="1"/>
  <c r="I974" i="1" a="1"/>
  <c r="I974" i="1" s="1"/>
  <c r="H912" i="1" a="1"/>
  <c r="H912" i="1" s="1"/>
  <c r="I894" i="1" a="1"/>
  <c r="I894" i="1" s="1"/>
  <c r="F914" i="1" a="1"/>
  <c r="F914" i="1" s="1"/>
  <c r="K883" i="1" a="1"/>
  <c r="K883" i="1" s="1"/>
  <c r="J914" i="1" a="1"/>
  <c r="J914" i="1" s="1"/>
  <c r="I914" i="1" a="1"/>
  <c r="I914" i="1" s="1"/>
  <c r="G894" i="1" a="1"/>
  <c r="G894" i="1" s="1"/>
  <c r="G901" i="1" s="1"/>
  <c r="I926" i="1" a="1"/>
  <c r="I926" i="1" s="1"/>
  <c r="H926" i="1" a="1"/>
  <c r="H926" i="1" s="1"/>
  <c r="H894" i="1" a="1"/>
  <c r="H894" i="1" s="1"/>
  <c r="H901" i="1" s="1"/>
  <c r="F894" i="1" a="1"/>
  <c r="F894" i="1" s="1"/>
  <c r="F893" i="1" s="1"/>
  <c r="H914" i="1" a="1"/>
  <c r="H914" i="1" s="1"/>
  <c r="K912" i="1" a="1"/>
  <c r="K912" i="1" s="1"/>
  <c r="J912" i="1" a="1"/>
  <c r="J912" i="1" s="1"/>
  <c r="F912" i="1" a="1"/>
  <c r="F912" i="1" s="1"/>
  <c r="G912" i="1" a="1"/>
  <c r="G912" i="1" s="1"/>
  <c r="J894" i="1" a="1"/>
  <c r="J894" i="1" s="1"/>
  <c r="J901" i="1" s="1"/>
  <c r="K914" i="1" a="1"/>
  <c r="K914" i="1" s="1"/>
  <c r="G926" i="1" a="1"/>
  <c r="G926" i="1" s="1"/>
  <c r="I912" i="1" a="1"/>
  <c r="I912" i="1" s="1"/>
  <c r="J926" i="1" a="1"/>
  <c r="J926" i="1" s="1"/>
  <c r="K894" i="1" a="1"/>
  <c r="K894" i="1" s="1"/>
  <c r="G914" i="1" a="1"/>
  <c r="G914" i="1" s="1"/>
  <c r="K926" i="1" a="1"/>
  <c r="K926" i="1" s="1"/>
  <c r="F926" i="1" a="1"/>
  <c r="F926" i="1" s="1"/>
  <c r="I883" i="1" a="1"/>
  <c r="I883" i="1" s="1"/>
  <c r="H883" i="1" a="1"/>
  <c r="H883" i="1" s="1"/>
  <c r="I882" i="1" a="1"/>
  <c r="I882" i="1" s="1"/>
  <c r="F883" i="1" a="1"/>
  <c r="F883" i="1" s="1"/>
  <c r="K882" i="1" a="1"/>
  <c r="K882" i="1" s="1"/>
  <c r="F882" i="1" a="1"/>
  <c r="F882" i="1" s="1"/>
  <c r="H882" i="1" a="1"/>
  <c r="H882" i="1" s="1"/>
  <c r="G882" i="1" a="1"/>
  <c r="G882" i="1" s="1"/>
  <c r="J883" i="1" a="1"/>
  <c r="J883" i="1" s="1"/>
  <c r="G883" i="1" a="1"/>
  <c r="G883" i="1" s="1"/>
  <c r="J882" i="1" a="1"/>
  <c r="J882" i="1" s="1"/>
  <c r="K800" i="1" a="1"/>
  <c r="K800" i="1" s="1"/>
  <c r="F800" i="1" a="1"/>
  <c r="F800" i="1" s="1"/>
  <c r="K804" i="1" a="1"/>
  <c r="K804" i="1" s="1"/>
  <c r="J804" i="1" a="1"/>
  <c r="J804" i="1" s="1"/>
  <c r="J800" i="1" a="1"/>
  <c r="J800" i="1" s="1"/>
  <c r="I804" i="1" a="1"/>
  <c r="I804" i="1" s="1"/>
  <c r="H804" i="1" a="1"/>
  <c r="H804" i="1" s="1"/>
  <c r="F778" i="1" a="1"/>
  <c r="F778" i="1" s="1"/>
  <c r="F777" i="1" s="1"/>
  <c r="G804" i="1" a="1"/>
  <c r="G804" i="1" s="1"/>
  <c r="F804" i="1" a="1"/>
  <c r="F804" i="1" s="1"/>
  <c r="F802" i="1" a="1"/>
  <c r="F802" i="1" s="1"/>
  <c r="K802" i="1" a="1"/>
  <c r="K802" i="1" s="1"/>
  <c r="H800" i="1" a="1"/>
  <c r="H800" i="1" s="1"/>
  <c r="G778" i="1" a="1"/>
  <c r="G778" i="1" s="1"/>
  <c r="G777" i="1" s="1"/>
  <c r="I778" i="1" a="1"/>
  <c r="I778" i="1" s="1"/>
  <c r="I777" i="1" s="1"/>
  <c r="H802" i="1" a="1"/>
  <c r="H802" i="1" s="1"/>
  <c r="K778" i="1" a="1"/>
  <c r="K778" i="1" s="1"/>
  <c r="K777" i="1" s="1"/>
  <c r="K764" i="1" a="1"/>
  <c r="K764" i="1" s="1"/>
  <c r="K814" i="1" s="1" a="1"/>
  <c r="K814" i="1" s="1"/>
  <c r="G800" i="1" a="1"/>
  <c r="G800" i="1" s="1"/>
  <c r="J778" i="1" a="1"/>
  <c r="J778" i="1" s="1"/>
  <c r="J777" i="1" s="1"/>
  <c r="H778" i="1" a="1"/>
  <c r="H778" i="1" s="1"/>
  <c r="H777" i="1" s="1"/>
  <c r="J802" i="1" a="1"/>
  <c r="J802" i="1" s="1"/>
  <c r="I802" i="1" a="1"/>
  <c r="I802" i="1" s="1"/>
  <c r="G802" i="1" a="1"/>
  <c r="G802" i="1" s="1"/>
  <c r="I800" i="1" a="1"/>
  <c r="I800" i="1" s="1"/>
  <c r="I764" i="1" a="1"/>
  <c r="I764" i="1" s="1"/>
  <c r="I814" i="1" s="1" a="1"/>
  <c r="I814" i="1" s="1"/>
  <c r="H764" i="1" a="1"/>
  <c r="H764" i="1" s="1"/>
  <c r="H814" i="1" s="1" a="1"/>
  <c r="H814" i="1" s="1"/>
  <c r="G764" i="1" a="1"/>
  <c r="G764" i="1" s="1"/>
  <c r="G814" i="1" s="1" a="1"/>
  <c r="G814" i="1" s="1"/>
  <c r="F764" i="1" a="1"/>
  <c r="F764" i="1" s="1"/>
  <c r="F814" i="1" s="1" a="1"/>
  <c r="F814" i="1" s="1"/>
  <c r="J764" i="1" a="1"/>
  <c r="J764" i="1" s="1"/>
  <c r="J814" i="1" s="1" a="1"/>
  <c r="J814" i="1" s="1"/>
  <c r="K854" i="1"/>
  <c r="J854" i="1"/>
  <c r="I854" i="1"/>
  <c r="H854" i="1"/>
  <c r="H853" i="1" s="1"/>
  <c r="G854" i="1"/>
  <c r="F854" i="1"/>
  <c r="K853" i="1"/>
  <c r="J853" i="1"/>
  <c r="I853" i="1"/>
  <c r="G853" i="1"/>
  <c r="F853" i="1"/>
  <c r="K851" i="1"/>
  <c r="J851" i="1"/>
  <c r="I851" i="1"/>
  <c r="H851" i="1"/>
  <c r="G851" i="1"/>
  <c r="F851" i="1"/>
  <c r="K849" i="1"/>
  <c r="J849" i="1"/>
  <c r="I849" i="1"/>
  <c r="H849" i="1"/>
  <c r="G849" i="1"/>
  <c r="F849" i="1"/>
  <c r="K847" i="1"/>
  <c r="J847" i="1"/>
  <c r="I847" i="1"/>
  <c r="H847" i="1"/>
  <c r="G847" i="1"/>
  <c r="F847" i="1"/>
  <c r="K845" i="1"/>
  <c r="J845" i="1"/>
  <c r="I845" i="1"/>
  <c r="H845" i="1"/>
  <c r="G845" i="1"/>
  <c r="F845" i="1"/>
  <c r="K843" i="1"/>
  <c r="J843" i="1"/>
  <c r="I843" i="1"/>
  <c r="H843" i="1"/>
  <c r="G843" i="1"/>
  <c r="F843" i="1"/>
  <c r="K841" i="1"/>
  <c r="J841" i="1"/>
  <c r="I841" i="1"/>
  <c r="H841" i="1"/>
  <c r="G841" i="1"/>
  <c r="F841" i="1"/>
  <c r="K831" i="1"/>
  <c r="J831" i="1"/>
  <c r="I831" i="1"/>
  <c r="H831" i="1"/>
  <c r="G831" i="1"/>
  <c r="F831" i="1"/>
  <c r="K829" i="1"/>
  <c r="J829" i="1"/>
  <c r="I829" i="1"/>
  <c r="H829" i="1"/>
  <c r="G829" i="1"/>
  <c r="F829" i="1"/>
  <c r="K827" i="1"/>
  <c r="J827" i="1"/>
  <c r="I827" i="1"/>
  <c r="H827" i="1"/>
  <c r="G827" i="1"/>
  <c r="F827" i="1"/>
  <c r="K826" i="1"/>
  <c r="J826" i="1"/>
  <c r="I826" i="1"/>
  <c r="H826" i="1"/>
  <c r="G826" i="1"/>
  <c r="F826" i="1"/>
  <c r="K825" i="1"/>
  <c r="J825" i="1"/>
  <c r="I825" i="1"/>
  <c r="H825" i="1"/>
  <c r="G825" i="1"/>
  <c r="F825" i="1"/>
  <c r="K823" i="1"/>
  <c r="J823" i="1"/>
  <c r="I823" i="1"/>
  <c r="H823" i="1"/>
  <c r="G823" i="1"/>
  <c r="F823" i="1"/>
  <c r="K822" i="1"/>
  <c r="J822" i="1"/>
  <c r="I822" i="1"/>
  <c r="H822" i="1"/>
  <c r="G822" i="1"/>
  <c r="F822" i="1"/>
  <c r="K820" i="1"/>
  <c r="J820" i="1"/>
  <c r="I820" i="1"/>
  <c r="H820" i="1"/>
  <c r="G820" i="1"/>
  <c r="F820" i="1"/>
  <c r="K819" i="1"/>
  <c r="J819" i="1"/>
  <c r="I819" i="1"/>
  <c r="H819" i="1"/>
  <c r="G819" i="1"/>
  <c r="F819" i="1"/>
  <c r="K818" i="1"/>
  <c r="J818" i="1"/>
  <c r="I818" i="1"/>
  <c r="H818" i="1"/>
  <c r="G818" i="1"/>
  <c r="F818" i="1"/>
  <c r="K816" i="1"/>
  <c r="J816" i="1"/>
  <c r="I816" i="1"/>
  <c r="H816" i="1"/>
  <c r="G816" i="1"/>
  <c r="F816" i="1"/>
  <c r="K813" i="1"/>
  <c r="J813" i="1"/>
  <c r="I813" i="1"/>
  <c r="H813" i="1"/>
  <c r="G813" i="1"/>
  <c r="F813" i="1"/>
  <c r="K811" i="1"/>
  <c r="J811" i="1"/>
  <c r="I811" i="1"/>
  <c r="H811" i="1"/>
  <c r="G811" i="1"/>
  <c r="F811" i="1"/>
  <c r="K809" i="1"/>
  <c r="J809" i="1"/>
  <c r="I809" i="1"/>
  <c r="H809" i="1"/>
  <c r="G809" i="1"/>
  <c r="F809" i="1"/>
  <c r="K805" i="1"/>
  <c r="J805" i="1"/>
  <c r="I805" i="1"/>
  <c r="H805" i="1"/>
  <c r="G805" i="1"/>
  <c r="F805" i="1"/>
  <c r="K789" i="1"/>
  <c r="J789" i="1"/>
  <c r="I789" i="1"/>
  <c r="H789" i="1"/>
  <c r="G789" i="1"/>
  <c r="F789" i="1"/>
  <c r="K787" i="1"/>
  <c r="J787" i="1"/>
  <c r="I787" i="1"/>
  <c r="H787" i="1"/>
  <c r="G787" i="1"/>
  <c r="F787" i="1"/>
  <c r="K786" i="1"/>
  <c r="J786" i="1"/>
  <c r="I786" i="1"/>
  <c r="H786" i="1"/>
  <c r="G786" i="1"/>
  <c r="F786" i="1"/>
  <c r="K780" i="1"/>
  <c r="J780" i="1"/>
  <c r="I780" i="1"/>
  <c r="H780" i="1"/>
  <c r="G780" i="1"/>
  <c r="F780" i="1"/>
  <c r="K776" i="1"/>
  <c r="J776" i="1"/>
  <c r="I776" i="1"/>
  <c r="H776" i="1"/>
  <c r="G776" i="1"/>
  <c r="F776" i="1"/>
  <c r="K774" i="1"/>
  <c r="J774" i="1"/>
  <c r="I774" i="1"/>
  <c r="H774" i="1"/>
  <c r="G774" i="1"/>
  <c r="F774" i="1"/>
  <c r="K772" i="1"/>
  <c r="J772" i="1"/>
  <c r="I772" i="1"/>
  <c r="H772" i="1"/>
  <c r="G772" i="1"/>
  <c r="F772" i="1"/>
  <c r="K770" i="1"/>
  <c r="J770" i="1"/>
  <c r="I770" i="1"/>
  <c r="H770" i="1"/>
  <c r="G770" i="1"/>
  <c r="F770" i="1"/>
  <c r="K765" i="1"/>
  <c r="J765" i="1"/>
  <c r="I765" i="1"/>
  <c r="H765" i="1"/>
  <c r="G765" i="1"/>
  <c r="F765" i="1"/>
  <c r="K762" i="1"/>
  <c r="J762" i="1"/>
  <c r="I762" i="1"/>
  <c r="H762" i="1"/>
  <c r="G762" i="1"/>
  <c r="F762" i="1"/>
  <c r="K705" i="1"/>
  <c r="J705" i="1"/>
  <c r="I705" i="1"/>
  <c r="H705" i="1"/>
  <c r="G705" i="1"/>
  <c r="F705" i="1"/>
  <c r="K704" i="1"/>
  <c r="J704" i="1"/>
  <c r="I704" i="1"/>
  <c r="H704" i="1"/>
  <c r="G704" i="1"/>
  <c r="F704" i="1"/>
  <c r="K676" i="1"/>
  <c r="J676" i="1"/>
  <c r="I676" i="1"/>
  <c r="H676" i="1"/>
  <c r="G676" i="1"/>
  <c r="F676" i="1"/>
  <c r="K675" i="1"/>
  <c r="J675" i="1"/>
  <c r="I675" i="1"/>
  <c r="H675" i="1"/>
  <c r="G675" i="1"/>
  <c r="F675" i="1"/>
  <c r="K667" i="1"/>
  <c r="K673" i="1" s="1"/>
  <c r="J667" i="1"/>
  <c r="J673" i="1" s="1"/>
  <c r="I667" i="1"/>
  <c r="I673" i="1" s="1"/>
  <c r="H667" i="1"/>
  <c r="H673" i="1" s="1"/>
  <c r="G667" i="1"/>
  <c r="G673" i="1" s="1"/>
  <c r="F667" i="1"/>
  <c r="F673" i="1" s="1"/>
  <c r="K666" i="1"/>
  <c r="K672" i="1" s="1"/>
  <c r="J666" i="1"/>
  <c r="J672" i="1" s="1"/>
  <c r="I666" i="1"/>
  <c r="I672" i="1" s="1"/>
  <c r="H666" i="1"/>
  <c r="H672" i="1" s="1"/>
  <c r="G666" i="1"/>
  <c r="G672" i="1" s="1"/>
  <c r="F666" i="1"/>
  <c r="F672" i="1" s="1"/>
  <c r="K665" i="1"/>
  <c r="J665" i="1"/>
  <c r="I665" i="1"/>
  <c r="H665" i="1"/>
  <c r="G665" i="1"/>
  <c r="F665" i="1"/>
  <c r="K661" i="1"/>
  <c r="J661" i="1"/>
  <c r="I661" i="1"/>
  <c r="H661" i="1"/>
  <c r="G661" i="1"/>
  <c r="F661" i="1"/>
  <c r="K619" i="1"/>
  <c r="J619" i="1"/>
  <c r="I619" i="1"/>
  <c r="H619" i="1"/>
  <c r="G619" i="1"/>
  <c r="F619" i="1"/>
  <c r="K614" i="1"/>
  <c r="J614" i="1"/>
  <c r="I614" i="1"/>
  <c r="H614" i="1"/>
  <c r="G614" i="1"/>
  <c r="F614" i="1"/>
  <c r="K613" i="1"/>
  <c r="J613" i="1"/>
  <c r="I613" i="1"/>
  <c r="H613" i="1"/>
  <c r="G613" i="1"/>
  <c r="F613" i="1"/>
  <c r="K598" i="1"/>
  <c r="J598" i="1"/>
  <c r="I598" i="1"/>
  <c r="H598" i="1"/>
  <c r="G598" i="1"/>
  <c r="F598" i="1"/>
  <c r="K580" i="1"/>
  <c r="J580" i="1"/>
  <c r="I580" i="1"/>
  <c r="H580" i="1"/>
  <c r="G580" i="1"/>
  <c r="F580" i="1"/>
  <c r="K503" i="1"/>
  <c r="J503" i="1"/>
  <c r="I503" i="1"/>
  <c r="H503" i="1"/>
  <c r="G503" i="1"/>
  <c r="F503" i="1"/>
  <c r="K460" i="1"/>
  <c r="J460" i="1"/>
  <c r="I460" i="1"/>
  <c r="H460" i="1"/>
  <c r="G460" i="1"/>
  <c r="F460" i="1"/>
  <c r="K458" i="1"/>
  <c r="J458" i="1"/>
  <c r="I458" i="1"/>
  <c r="H458" i="1"/>
  <c r="G458" i="1"/>
  <c r="F458" i="1"/>
  <c r="K456" i="1"/>
  <c r="J456" i="1"/>
  <c r="I456" i="1"/>
  <c r="H456" i="1"/>
  <c r="G456" i="1"/>
  <c r="F456" i="1"/>
  <c r="K454" i="1"/>
  <c r="J454" i="1"/>
  <c r="I454" i="1"/>
  <c r="H454" i="1"/>
  <c r="G454" i="1"/>
  <c r="F454" i="1"/>
  <c r="K448" i="1"/>
  <c r="J448" i="1"/>
  <c r="I448" i="1"/>
  <c r="H448" i="1"/>
  <c r="G448" i="1"/>
  <c r="F448" i="1"/>
  <c r="K446" i="1"/>
  <c r="J446" i="1"/>
  <c r="I446" i="1"/>
  <c r="H446" i="1"/>
  <c r="G446" i="1"/>
  <c r="F446" i="1"/>
  <c r="K444" i="1"/>
  <c r="J444" i="1"/>
  <c r="I444" i="1"/>
  <c r="H444" i="1"/>
  <c r="G444" i="1"/>
  <c r="F444" i="1"/>
  <c r="K442" i="1"/>
  <c r="J442" i="1"/>
  <c r="I442" i="1"/>
  <c r="H442" i="1"/>
  <c r="G442" i="1"/>
  <c r="F442" i="1"/>
  <c r="K406" i="1"/>
  <c r="J406" i="1"/>
  <c r="I406" i="1"/>
  <c r="H406" i="1"/>
  <c r="G406" i="1"/>
  <c r="F406" i="1"/>
  <c r="K405" i="1"/>
  <c r="J405" i="1"/>
  <c r="I405" i="1"/>
  <c r="H405" i="1"/>
  <c r="G405" i="1"/>
  <c r="F405" i="1"/>
  <c r="K404" i="1"/>
  <c r="J404" i="1"/>
  <c r="I404" i="1"/>
  <c r="H404" i="1"/>
  <c r="G404" i="1"/>
  <c r="F404" i="1"/>
  <c r="K403" i="1"/>
  <c r="J403" i="1"/>
  <c r="I403" i="1"/>
  <c r="H403" i="1"/>
  <c r="G403" i="1"/>
  <c r="F403" i="1"/>
  <c r="K402" i="1"/>
  <c r="J402" i="1"/>
  <c r="I402" i="1"/>
  <c r="H402" i="1"/>
  <c r="G402" i="1"/>
  <c r="F402" i="1"/>
  <c r="K401" i="1"/>
  <c r="J401" i="1"/>
  <c r="I401" i="1"/>
  <c r="H401" i="1"/>
  <c r="G401" i="1"/>
  <c r="F401" i="1"/>
  <c r="K400" i="1"/>
  <c r="J400" i="1"/>
  <c r="I400" i="1"/>
  <c r="H400" i="1"/>
  <c r="G400" i="1"/>
  <c r="F400" i="1"/>
  <c r="K394" i="1"/>
  <c r="J394" i="1"/>
  <c r="I394" i="1"/>
  <c r="H394" i="1"/>
  <c r="G394" i="1"/>
  <c r="F394" i="1"/>
  <c r="K392" i="1"/>
  <c r="J392" i="1"/>
  <c r="I392" i="1"/>
  <c r="H392" i="1"/>
  <c r="G392" i="1"/>
  <c r="F392" i="1"/>
  <c r="K391" i="1"/>
  <c r="J391" i="1"/>
  <c r="I391" i="1"/>
  <c r="H391" i="1"/>
  <c r="G391" i="1"/>
  <c r="F391" i="1"/>
  <c r="K390" i="1"/>
  <c r="J390" i="1"/>
  <c r="I390" i="1"/>
  <c r="H390" i="1"/>
  <c r="G390" i="1"/>
  <c r="F390" i="1"/>
  <c r="K389" i="1"/>
  <c r="J389" i="1"/>
  <c r="I389" i="1"/>
  <c r="H389" i="1"/>
  <c r="G389" i="1"/>
  <c r="F389" i="1"/>
  <c r="K388" i="1"/>
  <c r="J388" i="1"/>
  <c r="I388" i="1"/>
  <c r="H388" i="1"/>
  <c r="G388" i="1"/>
  <c r="F388" i="1"/>
  <c r="K386" i="1"/>
  <c r="J386" i="1"/>
  <c r="I386" i="1"/>
  <c r="H386" i="1"/>
  <c r="G386" i="1"/>
  <c r="F386" i="1"/>
  <c r="K379" i="1"/>
  <c r="J379" i="1"/>
  <c r="I379" i="1"/>
  <c r="H379" i="1"/>
  <c r="G379" i="1"/>
  <c r="F379" i="1"/>
  <c r="K358" i="1"/>
  <c r="J358" i="1"/>
  <c r="I358" i="1"/>
  <c r="H358" i="1"/>
  <c r="G358" i="1"/>
  <c r="F358" i="1"/>
  <c r="K357" i="1"/>
  <c r="J357" i="1"/>
  <c r="I357" i="1"/>
  <c r="H357" i="1"/>
  <c r="G357" i="1"/>
  <c r="F357" i="1"/>
  <c r="K311" i="1"/>
  <c r="J311" i="1"/>
  <c r="I311" i="1"/>
  <c r="H311" i="1"/>
  <c r="G311" i="1"/>
  <c r="F311" i="1"/>
  <c r="K310" i="1"/>
  <c r="J310" i="1"/>
  <c r="I310" i="1"/>
  <c r="H310" i="1"/>
  <c r="G310" i="1"/>
  <c r="F310" i="1"/>
  <c r="K309" i="1"/>
  <c r="J309" i="1"/>
  <c r="I309" i="1"/>
  <c r="H309" i="1"/>
  <c r="G309" i="1"/>
  <c r="F309" i="1"/>
  <c r="K297" i="1"/>
  <c r="J297" i="1"/>
  <c r="I297" i="1"/>
  <c r="H297" i="1"/>
  <c r="G297" i="1"/>
  <c r="F297" i="1"/>
  <c r="K295" i="1"/>
  <c r="J295" i="1"/>
  <c r="I295" i="1"/>
  <c r="H295" i="1"/>
  <c r="G295" i="1"/>
  <c r="F295" i="1"/>
  <c r="K294" i="1"/>
  <c r="J294" i="1"/>
  <c r="I294" i="1"/>
  <c r="H294" i="1"/>
  <c r="G294" i="1"/>
  <c r="F294" i="1"/>
  <c r="K293" i="1"/>
  <c r="J293" i="1"/>
  <c r="I293" i="1"/>
  <c r="H293" i="1"/>
  <c r="G293" i="1"/>
  <c r="F293" i="1"/>
  <c r="K291" i="1"/>
  <c r="J291" i="1"/>
  <c r="I291" i="1"/>
  <c r="H291" i="1"/>
  <c r="G291" i="1"/>
  <c r="F291" i="1"/>
  <c r="K393" i="1"/>
  <c r="J393" i="1"/>
  <c r="I393" i="1"/>
  <c r="H393" i="1"/>
  <c r="G393" i="1"/>
  <c r="F393" i="1"/>
  <c r="K288" i="1"/>
  <c r="J288" i="1"/>
  <c r="I288" i="1"/>
  <c r="H288" i="1"/>
  <c r="G288" i="1"/>
  <c r="F288" i="1"/>
  <c r="K287" i="1"/>
  <c r="J287" i="1"/>
  <c r="I287" i="1"/>
  <c r="H287" i="1"/>
  <c r="G287" i="1"/>
  <c r="F287" i="1"/>
  <c r="K285" i="1"/>
  <c r="J285" i="1"/>
  <c r="I285" i="1"/>
  <c r="H285" i="1"/>
  <c r="G285" i="1"/>
  <c r="F285" i="1"/>
  <c r="K284" i="1"/>
  <c r="J284" i="1"/>
  <c r="I284" i="1"/>
  <c r="H284" i="1"/>
  <c r="G284" i="1"/>
  <c r="F284" i="1"/>
  <c r="K283" i="1"/>
  <c r="J283" i="1"/>
  <c r="I283" i="1"/>
  <c r="H283" i="1"/>
  <c r="G283" i="1"/>
  <c r="F283" i="1"/>
  <c r="K248" i="1"/>
  <c r="J248" i="1"/>
  <c r="I248" i="1"/>
  <c r="H248" i="1"/>
  <c r="G248" i="1"/>
  <c r="F248" i="1"/>
  <c r="K247" i="1"/>
  <c r="J247" i="1"/>
  <c r="I247" i="1"/>
  <c r="H247" i="1"/>
  <c r="G247" i="1"/>
  <c r="F247" i="1"/>
  <c r="K246" i="1"/>
  <c r="J246" i="1"/>
  <c r="I246" i="1"/>
  <c r="H246" i="1"/>
  <c r="G246" i="1"/>
  <c r="F246" i="1"/>
  <c r="K245" i="1"/>
  <c r="J245" i="1"/>
  <c r="I245" i="1"/>
  <c r="H245" i="1"/>
  <c r="G245" i="1"/>
  <c r="F245" i="1"/>
  <c r="K244" i="1"/>
  <c r="J244" i="1"/>
  <c r="I244" i="1"/>
  <c r="H244" i="1"/>
  <c r="G244" i="1"/>
  <c r="F244" i="1"/>
  <c r="K243" i="1"/>
  <c r="J243" i="1"/>
  <c r="I243" i="1"/>
  <c r="H243" i="1"/>
  <c r="G243" i="1"/>
  <c r="F243" i="1"/>
  <c r="K242" i="1"/>
  <c r="J242" i="1"/>
  <c r="I242" i="1"/>
  <c r="H242" i="1"/>
  <c r="G242" i="1"/>
  <c r="F242" i="1"/>
  <c r="K241" i="1"/>
  <c r="J241" i="1"/>
  <c r="I241" i="1"/>
  <c r="H241" i="1"/>
  <c r="G241" i="1"/>
  <c r="F241" i="1"/>
  <c r="K233" i="1"/>
  <c r="J233" i="1"/>
  <c r="I233" i="1"/>
  <c r="H233" i="1"/>
  <c r="G233" i="1"/>
  <c r="F233" i="1"/>
  <c r="K230" i="1"/>
  <c r="J230" i="1"/>
  <c r="I230" i="1"/>
  <c r="H230" i="1"/>
  <c r="G230" i="1"/>
  <c r="F230" i="1"/>
  <c r="K228" i="1"/>
  <c r="J228" i="1"/>
  <c r="I228" i="1"/>
  <c r="H228" i="1"/>
  <c r="G228" i="1"/>
  <c r="F228" i="1"/>
  <c r="K226" i="1"/>
  <c r="J226" i="1"/>
  <c r="I226" i="1"/>
  <c r="H226" i="1"/>
  <c r="G226" i="1"/>
  <c r="F226" i="1"/>
  <c r="K224" i="1"/>
  <c r="J224" i="1"/>
  <c r="I224" i="1"/>
  <c r="H224" i="1"/>
  <c r="G224" i="1"/>
  <c r="F224" i="1"/>
  <c r="K218" i="1"/>
  <c r="J218" i="1"/>
  <c r="I218" i="1"/>
  <c r="H218" i="1"/>
  <c r="G218" i="1"/>
  <c r="F218" i="1"/>
  <c r="K216" i="1"/>
  <c r="J216" i="1"/>
  <c r="I216" i="1"/>
  <c r="H216" i="1"/>
  <c r="G216" i="1"/>
  <c r="F216" i="1"/>
  <c r="K214" i="1"/>
  <c r="J214" i="1"/>
  <c r="J210" i="1" s="1"/>
  <c r="I214" i="1"/>
  <c r="I210" i="1" s="1"/>
  <c r="H214" i="1"/>
  <c r="H210" i="1" s="1"/>
  <c r="G214" i="1"/>
  <c r="G210" i="1" s="1"/>
  <c r="F214" i="1"/>
  <c r="F210" i="1" s="1"/>
  <c r="K210" i="1"/>
  <c r="K207" i="1"/>
  <c r="J207" i="1"/>
  <c r="I207" i="1"/>
  <c r="H207" i="1"/>
  <c r="G207" i="1"/>
  <c r="F207" i="1"/>
  <c r="K205" i="1"/>
  <c r="J205" i="1"/>
  <c r="I205" i="1"/>
  <c r="H205" i="1"/>
  <c r="G205" i="1"/>
  <c r="F205" i="1"/>
  <c r="K188" i="1"/>
  <c r="J188" i="1"/>
  <c r="I188" i="1"/>
  <c r="H188" i="1"/>
  <c r="G188" i="1"/>
  <c r="F188" i="1"/>
  <c r="K187" i="1"/>
  <c r="J187" i="1"/>
  <c r="I187" i="1"/>
  <c r="H187" i="1"/>
  <c r="G187" i="1"/>
  <c r="F187" i="1"/>
  <c r="K183" i="1"/>
  <c r="J183" i="1"/>
  <c r="I183" i="1"/>
  <c r="H183" i="1"/>
  <c r="G183" i="1"/>
  <c r="F183" i="1"/>
  <c r="K178" i="1"/>
  <c r="J178" i="1"/>
  <c r="I178" i="1"/>
  <c r="H178" i="1"/>
  <c r="G178" i="1"/>
  <c r="F178" i="1"/>
  <c r="K177" i="1"/>
  <c r="J177" i="1"/>
  <c r="I177" i="1"/>
  <c r="H177" i="1"/>
  <c r="G177" i="1"/>
  <c r="F177" i="1"/>
  <c r="K176" i="1"/>
  <c r="J176" i="1"/>
  <c r="I176" i="1"/>
  <c r="H176" i="1"/>
  <c r="G176" i="1"/>
  <c r="F176" i="1"/>
  <c r="K175" i="1"/>
  <c r="J175" i="1"/>
  <c r="I175" i="1"/>
  <c r="H175" i="1"/>
  <c r="G175" i="1"/>
  <c r="F175" i="1"/>
  <c r="K174" i="1"/>
  <c r="J174" i="1"/>
  <c r="I174" i="1"/>
  <c r="H174" i="1"/>
  <c r="G174" i="1"/>
  <c r="F174" i="1"/>
  <c r="K173" i="1"/>
  <c r="J173" i="1"/>
  <c r="I173" i="1"/>
  <c r="H173" i="1"/>
  <c r="G173" i="1"/>
  <c r="F173" i="1"/>
  <c r="K172" i="1"/>
  <c r="J172" i="1"/>
  <c r="I172" i="1"/>
  <c r="H172" i="1"/>
  <c r="G172" i="1"/>
  <c r="F172" i="1"/>
  <c r="K170" i="1"/>
  <c r="J170" i="1"/>
  <c r="I170" i="1"/>
  <c r="H170" i="1"/>
  <c r="G170" i="1"/>
  <c r="F170" i="1"/>
  <c r="K169" i="1"/>
  <c r="J169" i="1"/>
  <c r="I169" i="1"/>
  <c r="H169" i="1"/>
  <c r="G169" i="1"/>
  <c r="F169" i="1"/>
  <c r="K168" i="1"/>
  <c r="K396" i="1" s="1"/>
  <c r="K437" i="1" s="1"/>
  <c r="J168" i="1"/>
  <c r="J396" i="1" s="1"/>
  <c r="J437" i="1" s="1"/>
  <c r="I168" i="1"/>
  <c r="H168" i="1"/>
  <c r="G168" i="1"/>
  <c r="G396" i="1" s="1"/>
  <c r="G437" i="1" s="1"/>
  <c r="F168" i="1"/>
  <c r="K165" i="1"/>
  <c r="J165" i="1"/>
  <c r="I165" i="1"/>
  <c r="H165" i="1"/>
  <c r="G165" i="1"/>
  <c r="F165" i="1"/>
  <c r="K164" i="1"/>
  <c r="J164" i="1"/>
  <c r="I164" i="1"/>
  <c r="H164" i="1"/>
  <c r="G164" i="1"/>
  <c r="F164" i="1"/>
  <c r="K163" i="1"/>
  <c r="J163" i="1"/>
  <c r="I163" i="1"/>
  <c r="H163" i="1"/>
  <c r="G163" i="1"/>
  <c r="F163" i="1"/>
  <c r="K162" i="1"/>
  <c r="J162" i="1"/>
  <c r="I162" i="1"/>
  <c r="H162" i="1"/>
  <c r="G162" i="1"/>
  <c r="F162" i="1"/>
  <c r="K161" i="1"/>
  <c r="J161" i="1"/>
  <c r="I161" i="1"/>
  <c r="H161" i="1"/>
  <c r="G161" i="1"/>
  <c r="F161" i="1"/>
  <c r="K160" i="1"/>
  <c r="J160" i="1"/>
  <c r="I160" i="1"/>
  <c r="H160" i="1"/>
  <c r="G160" i="1"/>
  <c r="F160" i="1"/>
  <c r="K158" i="1"/>
  <c r="J158" i="1"/>
  <c r="I158" i="1"/>
  <c r="H158" i="1"/>
  <c r="G158" i="1"/>
  <c r="F158" i="1"/>
  <c r="K156" i="1"/>
  <c r="J156" i="1"/>
  <c r="I156" i="1"/>
  <c r="H156" i="1"/>
  <c r="G156" i="1"/>
  <c r="F156" i="1"/>
  <c r="K155" i="1"/>
  <c r="J155" i="1"/>
  <c r="I155" i="1"/>
  <c r="H155" i="1"/>
  <c r="G155" i="1"/>
  <c r="F155" i="1"/>
  <c r="K154" i="1"/>
  <c r="J154" i="1"/>
  <c r="I154" i="1"/>
  <c r="H154" i="1"/>
  <c r="G154" i="1"/>
  <c r="F154" i="1"/>
  <c r="K153" i="1"/>
  <c r="J153" i="1"/>
  <c r="I153" i="1"/>
  <c r="H153" i="1"/>
  <c r="G153" i="1"/>
  <c r="F153" i="1"/>
  <c r="K152" i="1"/>
  <c r="J152" i="1"/>
  <c r="I152" i="1"/>
  <c r="H152" i="1"/>
  <c r="G152" i="1"/>
  <c r="F152" i="1"/>
  <c r="K151" i="1"/>
  <c r="J151" i="1"/>
  <c r="I151" i="1"/>
  <c r="H151" i="1"/>
  <c r="G151" i="1"/>
  <c r="F151" i="1"/>
  <c r="K150" i="1"/>
  <c r="J150" i="1"/>
  <c r="I150" i="1"/>
  <c r="H150" i="1"/>
  <c r="G150" i="1"/>
  <c r="F150" i="1"/>
  <c r="K134" i="1"/>
  <c r="J134" i="1"/>
  <c r="I134" i="1"/>
  <c r="H134" i="1"/>
  <c r="G134" i="1"/>
  <c r="F134" i="1"/>
  <c r="K133" i="1"/>
  <c r="J133" i="1"/>
  <c r="I133" i="1"/>
  <c r="H133" i="1"/>
  <c r="G133" i="1"/>
  <c r="F133" i="1"/>
  <c r="K132" i="1"/>
  <c r="K139" i="1" s="1" a="1"/>
  <c r="K139" i="1" s="1"/>
  <c r="J132" i="1"/>
  <c r="J139" i="1" s="1" a="1"/>
  <c r="J139" i="1" s="1"/>
  <c r="I132" i="1"/>
  <c r="I139" i="1" s="1" a="1"/>
  <c r="I139" i="1" s="1"/>
  <c r="H132" i="1"/>
  <c r="G132" i="1"/>
  <c r="G139" i="1" s="1" a="1"/>
  <c r="G139" i="1" s="1"/>
  <c r="F132" i="1"/>
  <c r="F139" i="1" s="1" a="1"/>
  <c r="F139" i="1" s="1"/>
  <c r="K131" i="1"/>
  <c r="K138" i="1" s="1" a="1"/>
  <c r="K138" i="1" s="1"/>
  <c r="J131" i="1"/>
  <c r="J138" i="1" s="1" a="1"/>
  <c r="J138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K130" i="1"/>
  <c r="K137" i="1" s="1" a="1"/>
  <c r="K137" i="1" s="1"/>
  <c r="J130" i="1"/>
  <c r="J137" i="1" s="1" a="1"/>
  <c r="J137" i="1" s="1"/>
  <c r="I130" i="1"/>
  <c r="I137" i="1" s="1" a="1"/>
  <c r="I137" i="1" s="1"/>
  <c r="H130" i="1"/>
  <c r="H137" i="1" s="1" a="1"/>
  <c r="H137" i="1" s="1"/>
  <c r="G130" i="1"/>
  <c r="G137" i="1" s="1" a="1"/>
  <c r="G137" i="1" s="1"/>
  <c r="F130" i="1"/>
  <c r="F137" i="1" s="1" a="1"/>
  <c r="F137" i="1" s="1"/>
  <c r="K129" i="1"/>
  <c r="K136" i="1" s="1" a="1"/>
  <c r="K136" i="1" s="1"/>
  <c r="J129" i="1"/>
  <c r="J136" i="1" s="1" a="1"/>
  <c r="J136" i="1" s="1"/>
  <c r="I129" i="1"/>
  <c r="I136" i="1" s="1" a="1"/>
  <c r="I136" i="1" s="1"/>
  <c r="H129" i="1"/>
  <c r="H136" i="1" s="1" a="1"/>
  <c r="H136" i="1" s="1"/>
  <c r="G129" i="1"/>
  <c r="G136" i="1" s="1" a="1"/>
  <c r="G136" i="1" s="1"/>
  <c r="F129" i="1"/>
  <c r="F136" i="1" s="1" a="1"/>
  <c r="F136" i="1" s="1"/>
  <c r="K95" i="1"/>
  <c r="J95" i="1"/>
  <c r="J323" i="1" s="1"/>
  <c r="J478" i="1" s="1"/>
  <c r="I95" i="1"/>
  <c r="H95" i="1"/>
  <c r="G95" i="1"/>
  <c r="F95" i="1"/>
  <c r="F323" i="1" s="1"/>
  <c r="F478" i="1" s="1"/>
  <c r="K94" i="1"/>
  <c r="K126" i="1" s="1"/>
  <c r="J94" i="1"/>
  <c r="J126" i="1" s="1"/>
  <c r="I94" i="1"/>
  <c r="H94" i="1"/>
  <c r="G94" i="1"/>
  <c r="F94" i="1"/>
  <c r="K93" i="1"/>
  <c r="K321" i="1" s="1"/>
  <c r="K476" i="1" s="1"/>
  <c r="J93" i="1"/>
  <c r="J321" i="1" s="1"/>
  <c r="J476" i="1" s="1"/>
  <c r="I93" i="1"/>
  <c r="I321" i="1" s="1"/>
  <c r="I476" i="1" s="1"/>
  <c r="H93" i="1"/>
  <c r="H321" i="1" s="1"/>
  <c r="H476" i="1" s="1"/>
  <c r="G93" i="1"/>
  <c r="F93" i="1"/>
  <c r="F321" i="1" s="1"/>
  <c r="F476" i="1" s="1"/>
  <c r="K92" i="1"/>
  <c r="K124" i="1" s="1"/>
  <c r="J92" i="1"/>
  <c r="J320" i="1" s="1"/>
  <c r="J475" i="1" s="1"/>
  <c r="I92" i="1"/>
  <c r="H92" i="1"/>
  <c r="G92" i="1"/>
  <c r="F92" i="1"/>
  <c r="F124" i="1" s="1"/>
  <c r="K91" i="1"/>
  <c r="J91" i="1"/>
  <c r="J319" i="1" s="1"/>
  <c r="J474" i="1" s="1"/>
  <c r="I91" i="1"/>
  <c r="I319" i="1" s="1"/>
  <c r="I474" i="1" s="1"/>
  <c r="H91" i="1"/>
  <c r="H123" i="1" s="1"/>
  <c r="G91" i="1"/>
  <c r="F91" i="1"/>
  <c r="K90" i="1"/>
  <c r="J90" i="1"/>
  <c r="I90" i="1"/>
  <c r="H90" i="1"/>
  <c r="H318" i="1" s="1"/>
  <c r="H473" i="1" s="1"/>
  <c r="G90" i="1"/>
  <c r="G122" i="1" s="1"/>
  <c r="F90" i="1"/>
  <c r="K89" i="1"/>
  <c r="K121" i="1" s="1"/>
  <c r="J89" i="1"/>
  <c r="J121" i="1" s="1"/>
  <c r="I89" i="1"/>
  <c r="I121" i="1" s="1"/>
  <c r="H89" i="1"/>
  <c r="H317" i="1" s="1"/>
  <c r="H472" i="1" s="1"/>
  <c r="G89" i="1"/>
  <c r="F89" i="1"/>
  <c r="K88" i="1"/>
  <c r="J88" i="1"/>
  <c r="I88" i="1"/>
  <c r="H88" i="1"/>
  <c r="H120" i="1" s="1"/>
  <c r="G88" i="1"/>
  <c r="F88" i="1"/>
  <c r="K87" i="1"/>
  <c r="K119" i="1" s="1"/>
  <c r="J87" i="1"/>
  <c r="J119" i="1" s="1"/>
  <c r="I87" i="1"/>
  <c r="I119" i="1" s="1"/>
  <c r="H87" i="1"/>
  <c r="H119" i="1" s="1"/>
  <c r="G87" i="1"/>
  <c r="G119" i="1" s="1"/>
  <c r="F87" i="1"/>
  <c r="F119" i="1" s="1"/>
  <c r="K86" i="1"/>
  <c r="K118" i="1" s="1"/>
  <c r="J86" i="1"/>
  <c r="J118" i="1" s="1"/>
  <c r="I86" i="1"/>
  <c r="I118" i="1" s="1"/>
  <c r="H86" i="1"/>
  <c r="H118" i="1" s="1"/>
  <c r="G86" i="1"/>
  <c r="G118" i="1" s="1"/>
  <c r="F86" i="1"/>
  <c r="K85" i="1"/>
  <c r="J85" i="1"/>
  <c r="I85" i="1"/>
  <c r="H85" i="1"/>
  <c r="G85" i="1"/>
  <c r="G117" i="1" s="1"/>
  <c r="F85" i="1"/>
  <c r="K84" i="1"/>
  <c r="J84" i="1"/>
  <c r="I84" i="1"/>
  <c r="H84" i="1"/>
  <c r="G84" i="1"/>
  <c r="G116" i="1" s="1"/>
  <c r="F84" i="1"/>
  <c r="F116" i="1" s="1"/>
  <c r="K83" i="1"/>
  <c r="K115" i="1" s="1"/>
  <c r="J83" i="1"/>
  <c r="J115" i="1" s="1"/>
  <c r="I83" i="1"/>
  <c r="I115" i="1" s="1"/>
  <c r="H83" i="1"/>
  <c r="H115" i="1" s="1"/>
  <c r="G83" i="1"/>
  <c r="G115" i="1" s="1"/>
  <c r="F83" i="1"/>
  <c r="F115" i="1" s="1"/>
  <c r="K82" i="1"/>
  <c r="K114" i="1" s="1"/>
  <c r="J82" i="1"/>
  <c r="J114" i="1" s="1"/>
  <c r="I82" i="1"/>
  <c r="I114" i="1" s="1"/>
  <c r="H82" i="1"/>
  <c r="H114" i="1" s="1"/>
  <c r="G82" i="1"/>
  <c r="G114" i="1" s="1"/>
  <c r="F82" i="1"/>
  <c r="F114" i="1" s="1"/>
  <c r="K81" i="1"/>
  <c r="K113" i="1" s="1"/>
  <c r="J81" i="1"/>
  <c r="J113" i="1" s="1"/>
  <c r="I81" i="1"/>
  <c r="I113" i="1" s="1"/>
  <c r="H81" i="1"/>
  <c r="H113" i="1" s="1"/>
  <c r="G81" i="1"/>
  <c r="G113" i="1" s="1"/>
  <c r="F81" i="1"/>
  <c r="F113" i="1" s="1"/>
  <c r="K75" i="1"/>
  <c r="J75" i="1"/>
  <c r="I75" i="1"/>
  <c r="H75" i="1"/>
  <c r="G75" i="1"/>
  <c r="F75" i="1"/>
  <c r="K74" i="1"/>
  <c r="J74" i="1"/>
  <c r="I74" i="1"/>
  <c r="H74" i="1"/>
  <c r="G74" i="1"/>
  <c r="F74" i="1"/>
  <c r="K71" i="1"/>
  <c r="K299" i="1" s="1"/>
  <c r="K463" i="1" s="1"/>
  <c r="J71" i="1"/>
  <c r="J299" i="1" s="1"/>
  <c r="J463" i="1" s="1"/>
  <c r="I71" i="1"/>
  <c r="I299" i="1" s="1"/>
  <c r="I463" i="1" s="1"/>
  <c r="H71" i="1"/>
  <c r="H299" i="1" s="1"/>
  <c r="H463" i="1" s="1"/>
  <c r="G71" i="1"/>
  <c r="G299" i="1" s="1"/>
  <c r="G463" i="1" s="1"/>
  <c r="F71" i="1"/>
  <c r="F299" i="1" s="1"/>
  <c r="F463" i="1" s="1"/>
  <c r="K70" i="1"/>
  <c r="J70" i="1"/>
  <c r="I70" i="1"/>
  <c r="H70" i="1"/>
  <c r="G70" i="1"/>
  <c r="F70" i="1"/>
  <c r="K69" i="1"/>
  <c r="J69" i="1"/>
  <c r="I69" i="1"/>
  <c r="H69" i="1"/>
  <c r="G69" i="1"/>
  <c r="F69" i="1"/>
  <c r="K67" i="1"/>
  <c r="J67" i="1"/>
  <c r="I67" i="1"/>
  <c r="H67" i="1"/>
  <c r="G67" i="1"/>
  <c r="F67" i="1"/>
  <c r="K66" i="1"/>
  <c r="J66" i="1"/>
  <c r="I66" i="1"/>
  <c r="H66" i="1"/>
  <c r="G66" i="1"/>
  <c r="F66" i="1"/>
  <c r="K65" i="1"/>
  <c r="J65" i="1"/>
  <c r="I65" i="1"/>
  <c r="H65" i="1"/>
  <c r="G65" i="1"/>
  <c r="F65" i="1"/>
  <c r="K63" i="1"/>
  <c r="J63" i="1"/>
  <c r="I63" i="1"/>
  <c r="H63" i="1"/>
  <c r="G63" i="1"/>
  <c r="F63" i="1"/>
  <c r="I2040" i="1" a="1"/>
  <c r="I2040" i="1" s="1"/>
  <c r="G2042" i="1" a="1"/>
  <c r="G2042" i="1" s="1"/>
  <c r="F2042" i="1" a="1"/>
  <c r="F2042" i="1" s="1"/>
  <c r="J2043" i="1" a="1"/>
  <c r="J2043" i="1" s="1"/>
  <c r="K2044" i="1" a="1"/>
  <c r="K2044" i="1" s="1"/>
  <c r="J2044" i="1" a="1"/>
  <c r="J2044" i="1" s="1"/>
  <c r="F2041" i="1" a="1"/>
  <c r="F2041" i="1" s="1"/>
  <c r="J2040" i="1" a="1"/>
  <c r="J2040" i="1" s="1"/>
  <c r="J2041" i="1" a="1"/>
  <c r="J2041" i="1" s="1"/>
  <c r="H2043" i="1" a="1"/>
  <c r="H2043" i="1" s="1"/>
  <c r="H2042" i="1" a="1"/>
  <c r="H2042" i="1" s="1"/>
  <c r="G2040" i="1" a="1"/>
  <c r="G2040" i="1" s="1"/>
  <c r="I2044" i="1" a="1"/>
  <c r="I2044" i="1" s="1"/>
  <c r="F2040" i="1" a="1"/>
  <c r="F2040" i="1" s="1"/>
  <c r="H2044" i="1" a="1"/>
  <c r="H2044" i="1" s="1"/>
  <c r="I2043" i="1" a="1"/>
  <c r="I2043" i="1" s="1"/>
  <c r="I2042" i="1" a="1"/>
  <c r="I2042" i="1" s="1"/>
  <c r="H2040" i="1" a="1"/>
  <c r="H2040" i="1" s="1"/>
  <c r="F2044" i="1" a="1"/>
  <c r="F2044" i="1" s="1"/>
  <c r="F2043" i="1" a="1"/>
  <c r="F2043" i="1" s="1"/>
  <c r="G2043" i="1" a="1"/>
  <c r="G2043" i="1" s="1"/>
  <c r="H2041" i="1" a="1"/>
  <c r="H2041" i="1" s="1"/>
  <c r="K2042" i="1" a="1"/>
  <c r="K2042" i="1" s="1"/>
  <c r="I2041" i="1" a="1"/>
  <c r="I2041" i="1" s="1"/>
  <c r="J2042" i="1" a="1"/>
  <c r="J2042" i="1" s="1"/>
  <c r="K2041" i="1" a="1"/>
  <c r="K2041" i="1" s="1"/>
  <c r="K2040" i="1" a="1"/>
  <c r="K2040" i="1" s="1"/>
  <c r="G2044" i="1" a="1"/>
  <c r="G2044" i="1" s="1"/>
  <c r="G2041" i="1" a="1"/>
  <c r="G2041" i="1" s="1"/>
  <c r="K2043" i="1" a="1"/>
  <c r="K2043" i="1" s="1"/>
  <c r="K2033" i="1" a="1"/>
  <c r="K2033" i="1" s="1"/>
  <c r="F2034" i="1" a="1"/>
  <c r="F2034" i="1" s="1"/>
  <c r="K2030" i="1" a="1"/>
  <c r="K2030" i="1" s="1"/>
  <c r="G2037" i="1" a="1"/>
  <c r="G2037" i="1" s="1"/>
  <c r="F2039" i="1" a="1"/>
  <c r="F2039" i="1" s="1"/>
  <c r="H2035" i="1" a="1"/>
  <c r="H2035" i="1" s="1"/>
  <c r="K2034" i="1" a="1"/>
  <c r="K2034" i="1" s="1"/>
  <c r="F2037" i="1" a="1"/>
  <c r="F2037" i="1" s="1"/>
  <c r="H2036" i="1" a="1"/>
  <c r="H2036" i="1" s="1"/>
  <c r="K2038" i="1" a="1"/>
  <c r="K2038" i="1" s="1"/>
  <c r="J2038" i="1" a="1"/>
  <c r="J2038" i="1" s="1"/>
  <c r="H2038" i="1" a="1"/>
  <c r="H2038" i="1" s="1"/>
  <c r="F2030" i="1" a="1"/>
  <c r="F2030" i="1" s="1"/>
  <c r="I2038" i="1" a="1"/>
  <c r="I2038" i="1" s="1"/>
  <c r="G2038" i="1" a="1"/>
  <c r="G2038" i="1" s="1"/>
  <c r="F2038" i="1" a="1"/>
  <c r="F2038" i="1" s="1"/>
  <c r="K2037" i="1" a="1"/>
  <c r="K2037" i="1" s="1"/>
  <c r="J2037" i="1" a="1"/>
  <c r="J2037" i="1" s="1"/>
  <c r="K2036" i="1" a="1"/>
  <c r="K2036" i="1" s="1"/>
  <c r="F2036" i="1" a="1"/>
  <c r="F2036" i="1" s="1"/>
  <c r="F2032" i="1" a="1"/>
  <c r="F2032" i="1" s="1"/>
  <c r="J2032" i="1" a="1"/>
  <c r="J2032" i="1" s="1"/>
  <c r="G2032" i="1" a="1"/>
  <c r="G2032" i="1" s="1"/>
  <c r="H2031" i="1" a="1"/>
  <c r="H2031" i="1" s="1"/>
  <c r="G2033" i="1" a="1"/>
  <c r="G2033" i="1" s="1"/>
  <c r="I2034" i="1" a="1"/>
  <c r="I2034" i="1" s="1"/>
  <c r="H2029" i="1" a="1"/>
  <c r="H2029" i="1" s="1"/>
  <c r="I2037" i="1" a="1"/>
  <c r="I2037" i="1" s="1"/>
  <c r="H2037" i="1" a="1"/>
  <c r="H2037" i="1" s="1"/>
  <c r="G2036" i="1" a="1"/>
  <c r="G2036" i="1" s="1"/>
  <c r="F2031" i="1" a="1"/>
  <c r="F2031" i="1" s="1"/>
  <c r="K2032" i="1" a="1"/>
  <c r="K2032" i="1" s="1"/>
  <c r="J2035" i="1" a="1"/>
  <c r="J2035" i="1" s="1"/>
  <c r="J2031" i="1" a="1"/>
  <c r="J2031" i="1" s="1"/>
  <c r="G2035" i="1" a="1"/>
  <c r="G2035" i="1" s="1"/>
  <c r="J2034" i="1" a="1"/>
  <c r="J2034" i="1" s="1"/>
  <c r="I2031" i="1" a="1"/>
  <c r="I2031" i="1" s="1"/>
  <c r="G2031" i="1" a="1"/>
  <c r="G2031" i="1" s="1"/>
  <c r="I2030" i="1" a="1"/>
  <c r="I2030" i="1" s="1"/>
  <c r="I2029" i="1" a="1"/>
  <c r="I2029" i="1" s="1"/>
  <c r="J2033" i="1" a="1"/>
  <c r="J2033" i="1" s="1"/>
  <c r="I2035" i="1" a="1"/>
  <c r="I2035" i="1" s="1"/>
  <c r="H2032" i="1" a="1"/>
  <c r="H2032" i="1" s="1"/>
  <c r="K2031" i="1" a="1"/>
  <c r="K2031" i="1" s="1"/>
  <c r="J2030" i="1" a="1"/>
  <c r="J2030" i="1" s="1"/>
  <c r="J2036" i="1" a="1"/>
  <c r="J2036" i="1" s="1"/>
  <c r="I2033" i="1" a="1"/>
  <c r="I2033" i="1" s="1"/>
  <c r="F2033" i="1" a="1"/>
  <c r="F2033" i="1" s="1"/>
  <c r="H2033" i="1" a="1"/>
  <c r="H2033" i="1" s="1"/>
  <c r="H2030" i="1" a="1"/>
  <c r="H2030" i="1" s="1"/>
  <c r="K2029" i="1" a="1"/>
  <c r="K2029" i="1" s="1"/>
  <c r="G2039" i="1" a="1"/>
  <c r="G2039" i="1" s="1"/>
  <c r="K2035" i="1" a="1"/>
  <c r="K2035" i="1" s="1"/>
  <c r="G2034" i="1" a="1"/>
  <c r="G2034" i="1" s="1"/>
  <c r="G2030" i="1" a="1"/>
  <c r="G2030" i="1" s="1"/>
  <c r="I2032" i="1" a="1"/>
  <c r="I2032" i="1" s="1"/>
  <c r="K2039" i="1" a="1"/>
  <c r="K2039" i="1" s="1"/>
  <c r="J2039" i="1" a="1"/>
  <c r="J2039" i="1" s="1"/>
  <c r="I2039" i="1" a="1"/>
  <c r="I2039" i="1" s="1"/>
  <c r="H2039" i="1" a="1"/>
  <c r="H2039" i="1" s="1"/>
  <c r="H2034" i="1" a="1"/>
  <c r="H2034" i="1" s="1"/>
  <c r="J2029" i="1" a="1"/>
  <c r="J2029" i="1" s="1"/>
  <c r="I2036" i="1" a="1"/>
  <c r="I2036" i="1" s="1"/>
  <c r="F2035" i="1" a="1"/>
  <c r="F2035" i="1" s="1"/>
  <c r="J2021" i="1" a="1"/>
  <c r="J2021" i="1" s="1"/>
  <c r="H2021" i="1" a="1"/>
  <c r="H2021" i="1" s="1"/>
  <c r="J2020" i="1" a="1"/>
  <c r="J2020" i="1" s="1"/>
  <c r="G2018" i="1" a="1"/>
  <c r="G2018" i="1" s="1"/>
  <c r="K2018" i="1" a="1"/>
  <c r="K2018" i="1" s="1"/>
  <c r="H2018" i="1" a="1"/>
  <c r="H2018" i="1" s="1"/>
  <c r="I2020" i="1" a="1"/>
  <c r="I2020" i="1" s="1"/>
  <c r="F2020" i="1" a="1"/>
  <c r="F2020" i="1" s="1"/>
  <c r="F2021" i="1" a="1"/>
  <c r="F2021" i="1" s="1"/>
  <c r="G2020" i="1" a="1"/>
  <c r="G2020" i="1" s="1"/>
  <c r="G2029" i="1" a="1"/>
  <c r="G2029" i="1" s="1"/>
  <c r="J2027" i="1" a="1"/>
  <c r="J2027" i="1" s="1"/>
  <c r="F2029" i="1" a="1"/>
  <c r="F2029" i="1" s="1"/>
  <c r="H2024" i="1" a="1"/>
  <c r="H2024" i="1" s="1"/>
  <c r="H2023" i="1" s="1" a="1"/>
  <c r="H2023" i="1" s="1"/>
  <c r="I2018" i="1" a="1"/>
  <c r="I2018" i="1" s="1"/>
  <c r="K2021" i="1" a="1"/>
  <c r="K2021" i="1" s="1"/>
  <c r="K2027" i="1" a="1"/>
  <c r="K2027" i="1" s="1"/>
  <c r="K2026" i="1" s="1" a="1"/>
  <c r="K2026" i="1" s="1"/>
  <c r="I2027" i="1" a="1"/>
  <c r="I2027" i="1" s="1"/>
  <c r="I2026" i="1" s="1" a="1"/>
  <c r="I2026" i="1" s="1"/>
  <c r="F2024" i="1" a="1"/>
  <c r="F2024" i="1" s="1"/>
  <c r="F2023" i="1" s="1" a="1"/>
  <c r="F2023" i="1" s="1"/>
  <c r="H2027" i="1" a="1"/>
  <c r="H2027" i="1" s="1"/>
  <c r="H2026" i="1" s="1" a="1"/>
  <c r="H2026" i="1" s="1"/>
  <c r="J2018" i="1" a="1"/>
  <c r="J2018" i="1" s="1"/>
  <c r="F2018" i="1" a="1"/>
  <c r="F2018" i="1" s="1"/>
  <c r="G2024" i="1" a="1"/>
  <c r="G2024" i="1" s="1"/>
  <c r="G2023" i="1" s="1" a="1"/>
  <c r="G2023" i="1" s="1"/>
  <c r="G2027" i="1" a="1"/>
  <c r="G2027" i="1" s="1"/>
  <c r="G2026" i="1" s="1" a="1"/>
  <c r="G2026" i="1" s="1"/>
  <c r="F2027" i="1" a="1"/>
  <c r="F2027" i="1" s="1"/>
  <c r="F2026" i="1" s="1" a="1"/>
  <c r="F2026" i="1" s="1"/>
  <c r="J2026" i="1" a="1"/>
  <c r="J2026" i="1" s="1"/>
  <c r="K2024" i="1" a="1"/>
  <c r="K2024" i="1" s="1"/>
  <c r="K2023" i="1" s="1" a="1"/>
  <c r="K2023" i="1" s="1"/>
  <c r="J2024" i="1" a="1"/>
  <c r="J2024" i="1" s="1"/>
  <c r="J2023" i="1" s="1" a="1"/>
  <c r="J2023" i="1" s="1"/>
  <c r="I2024" i="1" a="1"/>
  <c r="I2024" i="1" s="1"/>
  <c r="I2023" i="1" s="1" a="1"/>
  <c r="I2023" i="1" s="1"/>
  <c r="H2020" i="1" a="1"/>
  <c r="H2020" i="1" s="1"/>
  <c r="I2021" i="1" a="1"/>
  <c r="I2021" i="1" s="1"/>
  <c r="G2021" i="1" a="1"/>
  <c r="G2021" i="1" s="1"/>
  <c r="K2020" i="1" a="1"/>
  <c r="K2020" i="1" s="1"/>
  <c r="I1703" i="1" a="1"/>
  <c r="I1703" i="1" s="1"/>
  <c r="G1704" i="1" a="1"/>
  <c r="G1704" i="1" s="1"/>
  <c r="J1703" i="1" a="1"/>
  <c r="J1703" i="1" s="1"/>
  <c r="H1703" i="1" a="1"/>
  <c r="H1703" i="1" s="1"/>
  <c r="F1704" i="1" a="1"/>
  <c r="F1704" i="1" s="1"/>
  <c r="H1704" i="1" a="1"/>
  <c r="H1704" i="1" s="1"/>
  <c r="K1704" i="1" a="1"/>
  <c r="K1704" i="1" s="1"/>
  <c r="J1704" i="1" a="1"/>
  <c r="J1704" i="1" s="1"/>
  <c r="K1703" i="1" a="1"/>
  <c r="K1703" i="1" s="1"/>
  <c r="F1703" i="1" a="1"/>
  <c r="F1703" i="1" s="1"/>
  <c r="G1703" i="1" a="1"/>
  <c r="G1703" i="1" s="1"/>
  <c r="I1704" i="1" a="1"/>
  <c r="I1704" i="1" s="1"/>
  <c r="I741" i="1" a="1"/>
  <c r="I741" i="1" s="1"/>
  <c r="G741" i="1" a="1"/>
  <c r="G741" i="1" s="1"/>
  <c r="K738" i="1" a="1"/>
  <c r="K738" i="1" s="1"/>
  <c r="G738" i="1" a="1"/>
  <c r="G738" i="1" s="1"/>
  <c r="F738" i="1" a="1"/>
  <c r="F738" i="1" s="1"/>
  <c r="K741" i="1" a="1"/>
  <c r="K741" i="1" s="1"/>
  <c r="H741" i="1" a="1"/>
  <c r="H741" i="1" s="1"/>
  <c r="F741" i="1" a="1"/>
  <c r="F741" i="1" s="1"/>
  <c r="H738" i="1" a="1"/>
  <c r="H738" i="1" s="1"/>
  <c r="J741" i="1" a="1"/>
  <c r="J741" i="1" s="1"/>
  <c r="J738" i="1" a="1"/>
  <c r="J738" i="1" s="1"/>
  <c r="I738" i="1" a="1"/>
  <c r="I738" i="1" s="1"/>
  <c r="J716" i="1" a="1"/>
  <c r="J716" i="1" s="1"/>
  <c r="K725" i="1" a="1"/>
  <c r="K725" i="1" s="1"/>
  <c r="H722" i="1" a="1"/>
  <c r="H722" i="1" s="1"/>
  <c r="G718" i="1" a="1"/>
  <c r="G718" i="1" s="1"/>
  <c r="H725" i="1" a="1"/>
  <c r="H725" i="1" s="1"/>
  <c r="I722" i="1" a="1"/>
  <c r="I722" i="1" s="1"/>
  <c r="I718" i="1" a="1"/>
  <c r="I718" i="1" s="1"/>
  <c r="J718" i="1" a="1"/>
  <c r="J718" i="1" s="1"/>
  <c r="K718" i="1" a="1"/>
  <c r="K718" i="1" s="1"/>
  <c r="F718" i="1" a="1"/>
  <c r="F718" i="1" s="1"/>
  <c r="J717" i="1" a="1"/>
  <c r="J717" i="1" s="1"/>
  <c r="H716" i="1" a="1"/>
  <c r="H716" i="1" s="1"/>
  <c r="I717" i="1" a="1"/>
  <c r="I717" i="1" s="1"/>
  <c r="F716" i="1" a="1"/>
  <c r="F716" i="1" s="1"/>
  <c r="K716" i="1" a="1"/>
  <c r="K716" i="1" s="1"/>
  <c r="K724" i="1" s="1" a="1"/>
  <c r="K724" i="1" s="1"/>
  <c r="K726" i="1" s="1" a="1"/>
  <c r="K726" i="1" s="1"/>
  <c r="J722" i="1" a="1"/>
  <c r="J722" i="1" s="1"/>
  <c r="J725" i="1" a="1"/>
  <c r="J725" i="1" s="1"/>
  <c r="K717" i="1" a="1"/>
  <c r="K717" i="1" s="1"/>
  <c r="G716" i="1" a="1"/>
  <c r="G716" i="1" s="1"/>
  <c r="F722" i="1" a="1"/>
  <c r="F722" i="1" s="1"/>
  <c r="K714" i="1" a="1"/>
  <c r="K714" i="1" s="1"/>
  <c r="J714" i="1" a="1"/>
  <c r="J714" i="1" s="1"/>
  <c r="H718" i="1" a="1"/>
  <c r="H718" i="1" s="1"/>
  <c r="G717" i="1" a="1"/>
  <c r="G717" i="1" s="1"/>
  <c r="H717" i="1" a="1"/>
  <c r="H717" i="1" s="1"/>
  <c r="I716" i="1" a="1"/>
  <c r="I716" i="1" s="1"/>
  <c r="I714" i="1" a="1"/>
  <c r="I714" i="1" s="1"/>
  <c r="G725" i="1" a="1"/>
  <c r="G725" i="1" s="1"/>
  <c r="F717" i="1" a="1"/>
  <c r="F717" i="1" s="1"/>
  <c r="K722" i="1" a="1"/>
  <c r="K722" i="1" s="1"/>
  <c r="I725" i="1" a="1"/>
  <c r="I725" i="1" s="1"/>
  <c r="F725" i="1" a="1"/>
  <c r="F725" i="1" s="1"/>
  <c r="G722" i="1" a="1"/>
  <c r="G722" i="1" s="1"/>
  <c r="H714" i="1" a="1"/>
  <c r="H714" i="1" s="1"/>
  <c r="I694" i="1" a="1"/>
  <c r="I694" i="1" s="1"/>
  <c r="H685" i="1" a="1"/>
  <c r="H685" i="1" s="1"/>
  <c r="G714" i="1" a="1"/>
  <c r="G714" i="1" s="1"/>
  <c r="F714" i="1" a="1"/>
  <c r="F714" i="1" s="1"/>
  <c r="F707" i="1" a="1"/>
  <c r="F707" i="1" s="1"/>
  <c r="J707" i="1" a="1"/>
  <c r="J707" i="1" s="1"/>
  <c r="H686" i="1" a="1"/>
  <c r="H686" i="1" s="1"/>
  <c r="I707" i="1" a="1"/>
  <c r="I707" i="1" s="1"/>
  <c r="G694" i="1" a="1"/>
  <c r="G694" i="1" s="1"/>
  <c r="K707" i="1" a="1"/>
  <c r="K707" i="1" s="1"/>
  <c r="G707" i="1" a="1"/>
  <c r="G707" i="1" s="1"/>
  <c r="G695" i="1" a="1"/>
  <c r="G695" i="1" s="1"/>
  <c r="I695" i="1" a="1"/>
  <c r="I695" i="1" s="1"/>
  <c r="K709" i="1" a="1"/>
  <c r="K709" i="1" s="1"/>
  <c r="K695" i="1" a="1"/>
  <c r="K695" i="1" s="1"/>
  <c r="K683" i="1" a="1"/>
  <c r="K683" i="1" s="1"/>
  <c r="H707" i="1" a="1"/>
  <c r="H707" i="1" s="1"/>
  <c r="K686" i="1" a="1"/>
  <c r="K686" i="1" s="1"/>
  <c r="J686" i="1" a="1"/>
  <c r="J686" i="1" s="1"/>
  <c r="I685" i="1" a="1"/>
  <c r="I685" i="1" s="1"/>
  <c r="F694" i="1" a="1"/>
  <c r="F694" i="1" s="1"/>
  <c r="F685" i="1" a="1"/>
  <c r="F685" i="1" s="1"/>
  <c r="H709" i="1" a="1"/>
  <c r="H709" i="1" s="1"/>
  <c r="G709" i="1" a="1"/>
  <c r="G709" i="1" s="1"/>
  <c r="J683" i="1" a="1"/>
  <c r="J683" i="1" s="1"/>
  <c r="G685" i="1" a="1"/>
  <c r="G685" i="1" s="1"/>
  <c r="H694" i="1" a="1"/>
  <c r="H694" i="1" s="1"/>
  <c r="H695" i="1" a="1"/>
  <c r="H695" i="1" s="1"/>
  <c r="I686" i="1" a="1"/>
  <c r="I686" i="1" s="1"/>
  <c r="K694" i="1" a="1"/>
  <c r="K694" i="1" s="1"/>
  <c r="J709" i="1" a="1"/>
  <c r="J709" i="1" s="1"/>
  <c r="F695" i="1" a="1"/>
  <c r="F695" i="1" s="1"/>
  <c r="J685" i="1" a="1"/>
  <c r="J685" i="1" s="1"/>
  <c r="I683" i="1" a="1"/>
  <c r="I683" i="1" s="1"/>
  <c r="F686" i="1" a="1"/>
  <c r="F686" i="1" s="1"/>
  <c r="G686" i="1" a="1"/>
  <c r="G686" i="1" s="1"/>
  <c r="K685" i="1" a="1"/>
  <c r="K685" i="1" s="1"/>
  <c r="I709" i="1" a="1"/>
  <c r="I709" i="1" s="1"/>
  <c r="F709" i="1" a="1"/>
  <c r="F709" i="1" s="1"/>
  <c r="J694" i="1" a="1"/>
  <c r="J694" i="1" s="1"/>
  <c r="J695" i="1" a="1"/>
  <c r="J695" i="1" s="1"/>
  <c r="K664" i="1" a="1"/>
  <c r="K664" i="1" s="1"/>
  <c r="G664" i="1" a="1"/>
  <c r="G664" i="1" s="1"/>
  <c r="J663" i="1" a="1"/>
  <c r="J663" i="1" s="1"/>
  <c r="H663" i="1" a="1"/>
  <c r="H663" i="1" s="1"/>
  <c r="K663" i="1" a="1"/>
  <c r="K663" i="1" s="1"/>
  <c r="H683" i="1" a="1"/>
  <c r="H683" i="1" s="1"/>
  <c r="G683" i="1" a="1"/>
  <c r="G683" i="1" s="1"/>
  <c r="F683" i="1" a="1"/>
  <c r="F683" i="1" s="1"/>
  <c r="I680" i="1" a="1"/>
  <c r="I680" i="1" s="1"/>
  <c r="K681" i="1" a="1"/>
  <c r="K681" i="1" s="1"/>
  <c r="J681" i="1" a="1"/>
  <c r="J681" i="1" s="1"/>
  <c r="K680" i="1" a="1"/>
  <c r="K680" i="1" s="1"/>
  <c r="K662" i="1" a="1"/>
  <c r="K662" i="1" s="1"/>
  <c r="G679" i="1" a="1"/>
  <c r="G679" i="1" s="1"/>
  <c r="G681" i="1" a="1"/>
  <c r="G681" i="1" s="1"/>
  <c r="J679" i="1" a="1"/>
  <c r="J679" i="1" s="1"/>
  <c r="I679" i="1" a="1"/>
  <c r="I679" i="1" s="1"/>
  <c r="F681" i="1" a="1"/>
  <c r="F681" i="1" s="1"/>
  <c r="G680" i="1" a="1"/>
  <c r="G680" i="1" s="1"/>
  <c r="I663" i="1" a="1"/>
  <c r="I663" i="1" s="1"/>
  <c r="K679" i="1" a="1"/>
  <c r="K679" i="1" s="1"/>
  <c r="H680" i="1" a="1"/>
  <c r="H680" i="1" s="1"/>
  <c r="F680" i="1" a="1"/>
  <c r="F680" i="1" s="1"/>
  <c r="H679" i="1" a="1"/>
  <c r="H679" i="1" s="1"/>
  <c r="G663" i="1" a="1"/>
  <c r="G663" i="1" s="1"/>
  <c r="I664" i="1" a="1"/>
  <c r="I664" i="1" s="1"/>
  <c r="H664" i="1" a="1"/>
  <c r="H664" i="1" s="1"/>
  <c r="I681" i="1" a="1"/>
  <c r="I681" i="1" s="1"/>
  <c r="J680" i="1" a="1"/>
  <c r="J680" i="1" s="1"/>
  <c r="F663" i="1" a="1"/>
  <c r="F663" i="1" s="1"/>
  <c r="F664" i="1" a="1"/>
  <c r="F664" i="1" s="1"/>
  <c r="J664" i="1" a="1"/>
  <c r="J664" i="1" s="1"/>
  <c r="H681" i="1" a="1"/>
  <c r="H681" i="1" s="1"/>
  <c r="F679" i="1" a="1"/>
  <c r="F679" i="1" s="1"/>
  <c r="G662" i="1" a="1"/>
  <c r="G662" i="1" s="1"/>
  <c r="F645" i="1" a="1"/>
  <c r="F645" i="1" s="1"/>
  <c r="F662" i="1" a="1"/>
  <c r="F662" i="1" s="1"/>
  <c r="G650" i="1" a="1"/>
  <c r="G650" i="1" s="1"/>
  <c r="H645" i="1" a="1"/>
  <c r="H645" i="1" s="1"/>
  <c r="J650" i="1" a="1"/>
  <c r="J650" i="1" s="1"/>
  <c r="I647" i="1" a="1"/>
  <c r="I647" i="1" s="1"/>
  <c r="G645" i="1" a="1"/>
  <c r="G645" i="1" s="1"/>
  <c r="H650" i="1" a="1"/>
  <c r="H650" i="1" s="1"/>
  <c r="F648" i="1" a="1"/>
  <c r="F648" i="1" s="1"/>
  <c r="K647" i="1" a="1"/>
  <c r="K647" i="1" s="1"/>
  <c r="J646" i="1" a="1"/>
  <c r="J646" i="1" s="1"/>
  <c r="K645" i="1" a="1"/>
  <c r="K645" i="1" s="1"/>
  <c r="I643" i="1" a="1"/>
  <c r="I643" i="1" s="1"/>
  <c r="K646" i="1" a="1"/>
  <c r="K646" i="1" s="1"/>
  <c r="F651" i="1" a="1"/>
  <c r="F651" i="1" s="1"/>
  <c r="H646" i="1" a="1"/>
  <c r="H646" i="1" s="1"/>
  <c r="G646" i="1" a="1"/>
  <c r="G646" i="1" s="1"/>
  <c r="G648" i="1" a="1"/>
  <c r="G648" i="1" s="1"/>
  <c r="I645" i="1" a="1"/>
  <c r="I645" i="1" s="1"/>
  <c r="G651" i="1" a="1"/>
  <c r="G651" i="1" s="1"/>
  <c r="F650" i="1" a="1"/>
  <c r="F650" i="1" s="1"/>
  <c r="J645" i="1" a="1"/>
  <c r="J645" i="1" s="1"/>
  <c r="H643" i="1" a="1"/>
  <c r="H643" i="1" s="1"/>
  <c r="K651" i="1" a="1"/>
  <c r="K651" i="1" s="1"/>
  <c r="J647" i="1" a="1"/>
  <c r="J647" i="1" s="1"/>
  <c r="J651" i="1" a="1"/>
  <c r="J651" i="1" s="1"/>
  <c r="G647" i="1" a="1"/>
  <c r="G647" i="1" s="1"/>
  <c r="I651" i="1" a="1"/>
  <c r="I651" i="1" s="1"/>
  <c r="H651" i="1" a="1"/>
  <c r="H651" i="1" s="1"/>
  <c r="K650" i="1" a="1"/>
  <c r="K650" i="1" s="1"/>
  <c r="J648" i="1" a="1"/>
  <c r="J648" i="1" s="1"/>
  <c r="K643" i="1" a="1"/>
  <c r="K643" i="1" s="1"/>
  <c r="H647" i="1" a="1"/>
  <c r="H647" i="1" s="1"/>
  <c r="F647" i="1" a="1"/>
  <c r="F647" i="1" s="1"/>
  <c r="I650" i="1" a="1"/>
  <c r="I650" i="1" s="1"/>
  <c r="K648" i="1" a="1"/>
  <c r="K648" i="1" s="1"/>
  <c r="F646" i="1" a="1"/>
  <c r="F646" i="1" s="1"/>
  <c r="I648" i="1" a="1"/>
  <c r="I648" i="1" s="1"/>
  <c r="I646" i="1" a="1"/>
  <c r="I646" i="1" s="1"/>
  <c r="J643" i="1" a="1"/>
  <c r="J643" i="1" s="1"/>
  <c r="J662" i="1" a="1"/>
  <c r="J662" i="1" s="1"/>
  <c r="H648" i="1" a="1"/>
  <c r="H648" i="1" s="1"/>
  <c r="I662" i="1" a="1"/>
  <c r="I662" i="1" s="1"/>
  <c r="H662" i="1" a="1"/>
  <c r="H662" i="1" s="1"/>
  <c r="G641" i="1" a="1"/>
  <c r="G641" i="1" s="1"/>
  <c r="F635" i="1" a="1"/>
  <c r="F635" i="1" s="1"/>
  <c r="H636" i="1" a="1"/>
  <c r="H636" i="1" s="1"/>
  <c r="H637" i="1" a="1"/>
  <c r="H637" i="1" s="1"/>
  <c r="H640" i="1" a="1"/>
  <c r="H640" i="1" s="1"/>
  <c r="K637" i="1" a="1"/>
  <c r="K637" i="1" s="1"/>
  <c r="G635" i="1" a="1"/>
  <c r="G635" i="1" s="1"/>
  <c r="J641" i="1" a="1"/>
  <c r="J641" i="1" s="1"/>
  <c r="K636" i="1" a="1"/>
  <c r="K636" i="1" s="1"/>
  <c r="F637" i="1" a="1"/>
  <c r="F637" i="1" s="1"/>
  <c r="G637" i="1" a="1"/>
  <c r="G637" i="1" s="1"/>
  <c r="I641" i="1" a="1"/>
  <c r="I641" i="1" s="1"/>
  <c r="K640" i="1" a="1"/>
  <c r="K640" i="1" s="1"/>
  <c r="J640" i="1" a="1"/>
  <c r="J640" i="1" s="1"/>
  <c r="K638" i="1" a="1"/>
  <c r="K638" i="1" s="1"/>
  <c r="J633" i="1" a="1"/>
  <c r="J633" i="1" s="1"/>
  <c r="I633" i="1" a="1"/>
  <c r="I633" i="1" s="1"/>
  <c r="K635" i="1" a="1"/>
  <c r="K635" i="1" s="1"/>
  <c r="J638" i="1" a="1"/>
  <c r="J638" i="1" s="1"/>
  <c r="G638" i="1" a="1"/>
  <c r="G638" i="1" s="1"/>
  <c r="G633" i="1" a="1"/>
  <c r="G633" i="1" s="1"/>
  <c r="I637" i="1" a="1"/>
  <c r="I637" i="1" s="1"/>
  <c r="I635" i="1" a="1"/>
  <c r="I635" i="1" s="1"/>
  <c r="F636" i="1" a="1"/>
  <c r="F636" i="1" s="1"/>
  <c r="I638" i="1" a="1"/>
  <c r="I638" i="1" s="1"/>
  <c r="H638" i="1" a="1"/>
  <c r="H638" i="1" s="1"/>
  <c r="J637" i="1" a="1"/>
  <c r="J637" i="1" s="1"/>
  <c r="G636" i="1" a="1"/>
  <c r="G636" i="1" s="1"/>
  <c r="J636" i="1" a="1"/>
  <c r="J636" i="1" s="1"/>
  <c r="J635" i="1" a="1"/>
  <c r="J635" i="1" s="1"/>
  <c r="K633" i="1" a="1"/>
  <c r="K633" i="1" s="1"/>
  <c r="H633" i="1" a="1"/>
  <c r="H633" i="1" s="1"/>
  <c r="K641" i="1" a="1"/>
  <c r="K641" i="1" s="1"/>
  <c r="H641" i="1" a="1"/>
  <c r="H641" i="1" s="1"/>
  <c r="F641" i="1" a="1"/>
  <c r="F641" i="1" s="1"/>
  <c r="F633" i="1" a="1"/>
  <c r="F633" i="1" s="1"/>
  <c r="F638" i="1" a="1"/>
  <c r="F638" i="1" s="1"/>
  <c r="H635" i="1" a="1"/>
  <c r="H635" i="1" s="1"/>
  <c r="I636" i="1" a="1"/>
  <c r="I636" i="1" s="1"/>
  <c r="G643" i="1" a="1"/>
  <c r="G643" i="1" s="1"/>
  <c r="F643" i="1" a="1"/>
  <c r="F643" i="1" s="1"/>
  <c r="I640" i="1" a="1"/>
  <c r="I640" i="1" s="1"/>
  <c r="G640" i="1" a="1"/>
  <c r="G640" i="1" s="1"/>
  <c r="F640" i="1" a="1"/>
  <c r="F640" i="1" s="1"/>
  <c r="H623" i="1" a="1"/>
  <c r="H623" i="1" s="1"/>
  <c r="J621" i="1" a="1"/>
  <c r="J621" i="1" s="1"/>
  <c r="K630" i="1" a="1"/>
  <c r="K630" i="1" s="1"/>
  <c r="J630" i="1" a="1"/>
  <c r="J630" i="1" s="1"/>
  <c r="I630" i="1" a="1"/>
  <c r="I630" i="1" s="1"/>
  <c r="H630" i="1" a="1"/>
  <c r="H630" i="1" s="1"/>
  <c r="G630" i="1" a="1"/>
  <c r="G630" i="1" s="1"/>
  <c r="K627" i="1" a="1"/>
  <c r="K627" i="1" s="1"/>
  <c r="J618" i="1" a="1"/>
  <c r="J618" i="1" s="1"/>
  <c r="H627" i="1" a="1"/>
  <c r="H627" i="1" s="1"/>
  <c r="F621" i="1" a="1"/>
  <c r="F621" i="1" s="1"/>
  <c r="I618" i="1" a="1"/>
  <c r="I618" i="1" s="1"/>
  <c r="K625" i="1" a="1"/>
  <c r="K625" i="1" s="1"/>
  <c r="G627" i="1" a="1"/>
  <c r="G627" i="1" s="1"/>
  <c r="K618" i="1" a="1"/>
  <c r="K618" i="1" s="1"/>
  <c r="I627" i="1" a="1"/>
  <c r="I627" i="1" s="1"/>
  <c r="F630" i="1" a="1"/>
  <c r="F630" i="1" s="1"/>
  <c r="I628" i="1" a="1"/>
  <c r="I628" i="1" s="1"/>
  <c r="K623" i="1" a="1"/>
  <c r="K623" i="1" s="1"/>
  <c r="I623" i="1" a="1"/>
  <c r="I623" i="1" s="1"/>
  <c r="F628" i="1" a="1"/>
  <c r="F628" i="1" s="1"/>
  <c r="F620" i="1" a="1"/>
  <c r="F620" i="1" s="1"/>
  <c r="J627" i="1" a="1"/>
  <c r="J627" i="1" s="1"/>
  <c r="I626" i="1" a="1"/>
  <c r="I626" i="1" s="1"/>
  <c r="F627" i="1" a="1"/>
  <c r="F627" i="1" s="1"/>
  <c r="J626" i="1" a="1"/>
  <c r="J626" i="1" s="1"/>
  <c r="H626" i="1" a="1"/>
  <c r="H626" i="1" s="1"/>
  <c r="I625" i="1" a="1"/>
  <c r="I625" i="1" s="1"/>
  <c r="J620" i="1" a="1"/>
  <c r="J620" i="1" s="1"/>
  <c r="H621" i="1" a="1"/>
  <c r="H621" i="1" s="1"/>
  <c r="F623" i="1" a="1"/>
  <c r="F623" i="1" s="1"/>
  <c r="F625" i="1" a="1"/>
  <c r="F625" i="1" s="1"/>
  <c r="G623" i="1" a="1"/>
  <c r="G623" i="1" s="1"/>
  <c r="K621" i="1" a="1"/>
  <c r="K621" i="1" s="1"/>
  <c r="K620" i="1" a="1"/>
  <c r="K620" i="1" s="1"/>
  <c r="H625" i="1" a="1"/>
  <c r="H625" i="1" s="1"/>
  <c r="G625" i="1" a="1"/>
  <c r="G625" i="1" s="1"/>
  <c r="I621" i="1" a="1"/>
  <c r="I621" i="1" s="1"/>
  <c r="I620" i="1" a="1"/>
  <c r="I620" i="1" s="1"/>
  <c r="J623" i="1" a="1"/>
  <c r="J623" i="1" s="1"/>
  <c r="F626" i="1" a="1"/>
  <c r="F626" i="1" s="1"/>
  <c r="F631" i="1" a="1"/>
  <c r="F631" i="1" s="1"/>
  <c r="K628" i="1" a="1"/>
  <c r="K628" i="1" s="1"/>
  <c r="J625" i="1" a="1"/>
  <c r="J625" i="1" s="1"/>
  <c r="H628" i="1" a="1"/>
  <c r="H628" i="1" s="1"/>
  <c r="G621" i="1" a="1"/>
  <c r="G621" i="1" s="1"/>
  <c r="H620" i="1" a="1"/>
  <c r="H620" i="1" s="1"/>
  <c r="J628" i="1" a="1"/>
  <c r="J628" i="1" s="1"/>
  <c r="K626" i="1" a="1"/>
  <c r="K626" i="1" s="1"/>
  <c r="G628" i="1" a="1"/>
  <c r="G628" i="1" s="1"/>
  <c r="G620" i="1" a="1"/>
  <c r="G620" i="1" s="1"/>
  <c r="K631" i="1" a="1"/>
  <c r="K631" i="1" s="1"/>
  <c r="J631" i="1" a="1"/>
  <c r="J631" i="1" s="1"/>
  <c r="I631" i="1" a="1"/>
  <c r="I631" i="1" s="1"/>
  <c r="H631" i="1" a="1"/>
  <c r="H631" i="1" s="1"/>
  <c r="G631" i="1" a="1"/>
  <c r="G631" i="1" s="1"/>
  <c r="G626" i="1" a="1"/>
  <c r="G626" i="1" s="1"/>
  <c r="G604" i="1" a="1"/>
  <c r="G604" i="1" s="1"/>
  <c r="K607" i="1" a="1"/>
  <c r="K607" i="1" s="1"/>
  <c r="J608" i="1" a="1"/>
  <c r="J608" i="1" s="1"/>
  <c r="G608" i="1" a="1"/>
  <c r="G608" i="1" s="1"/>
  <c r="K605" i="1" a="1"/>
  <c r="K605" i="1" s="1"/>
  <c r="F601" i="1" a="1"/>
  <c r="F601" i="1" s="1"/>
  <c r="I617" i="1" a="1"/>
  <c r="I617" i="1" s="1"/>
  <c r="H617" i="1" a="1"/>
  <c r="H617" i="1" s="1"/>
  <c r="G617" i="1" a="1"/>
  <c r="G617" i="1" s="1"/>
  <c r="K601" i="1" a="1"/>
  <c r="K601" i="1" s="1"/>
  <c r="I616" i="1" a="1"/>
  <c r="I616" i="1" s="1"/>
  <c r="J605" i="1" a="1"/>
  <c r="J605" i="1" s="1"/>
  <c r="H615" i="1" a="1"/>
  <c r="H615" i="1" s="1"/>
  <c r="I608" i="1" a="1"/>
  <c r="I608" i="1" s="1"/>
  <c r="G601" i="1" a="1"/>
  <c r="G601" i="1" s="1"/>
  <c r="F617" i="1" a="1"/>
  <c r="F617" i="1" s="1"/>
  <c r="H616" i="1" a="1"/>
  <c r="H616" i="1" s="1"/>
  <c r="H601" i="1" a="1"/>
  <c r="H601" i="1" s="1"/>
  <c r="G605" i="1" a="1"/>
  <c r="G605" i="1" s="1"/>
  <c r="G616" i="1" a="1"/>
  <c r="G616" i="1" s="1"/>
  <c r="K615" i="1" a="1"/>
  <c r="K615" i="1" s="1"/>
  <c r="I607" i="1" a="1"/>
  <c r="I607" i="1" s="1"/>
  <c r="I604" i="1" a="1"/>
  <c r="I604" i="1" s="1"/>
  <c r="F608" i="1" a="1"/>
  <c r="F608" i="1" s="1"/>
  <c r="H608" i="1" a="1"/>
  <c r="H608" i="1" s="1"/>
  <c r="J604" i="1" a="1"/>
  <c r="J604" i="1" s="1"/>
  <c r="H607" i="1" a="1"/>
  <c r="H607" i="1" s="1"/>
  <c r="I605" i="1" a="1"/>
  <c r="I605" i="1" s="1"/>
  <c r="J601" i="1" a="1"/>
  <c r="J601" i="1" s="1"/>
  <c r="K604" i="1" a="1"/>
  <c r="K604" i="1" s="1"/>
  <c r="F607" i="1" a="1"/>
  <c r="F607" i="1" s="1"/>
  <c r="H605" i="1" a="1"/>
  <c r="H605" i="1" s="1"/>
  <c r="H604" i="1" a="1"/>
  <c r="H604" i="1" s="1"/>
  <c r="J616" i="1" a="1"/>
  <c r="J616" i="1" s="1"/>
  <c r="F615" i="1" a="1"/>
  <c r="F615" i="1" s="1"/>
  <c r="G607" i="1" a="1"/>
  <c r="G607" i="1" s="1"/>
  <c r="I601" i="1" a="1"/>
  <c r="I601" i="1" s="1"/>
  <c r="F604" i="1" a="1"/>
  <c r="F604" i="1" s="1"/>
  <c r="H618" i="1" a="1"/>
  <c r="H618" i="1" s="1"/>
  <c r="G618" i="1" a="1"/>
  <c r="G618" i="1" s="1"/>
  <c r="F618" i="1" a="1"/>
  <c r="F618" i="1" s="1"/>
  <c r="J615" i="1" a="1"/>
  <c r="J615" i="1" s="1"/>
  <c r="J607" i="1" a="1"/>
  <c r="J607" i="1" s="1"/>
  <c r="K600" i="1" a="1"/>
  <c r="K600" i="1" s="1"/>
  <c r="F605" i="1" a="1"/>
  <c r="F605" i="1" s="1"/>
  <c r="K617" i="1" a="1"/>
  <c r="K617" i="1" s="1"/>
  <c r="J617" i="1" a="1"/>
  <c r="J617" i="1" s="1"/>
  <c r="K616" i="1" a="1"/>
  <c r="K616" i="1" s="1"/>
  <c r="F616" i="1" a="1"/>
  <c r="F616" i="1" s="1"/>
  <c r="I615" i="1" a="1"/>
  <c r="I615" i="1" s="1"/>
  <c r="G615" i="1" a="1"/>
  <c r="G615" i="1" s="1"/>
  <c r="K608" i="1" a="1"/>
  <c r="K608" i="1" s="1"/>
  <c r="G583" i="1" a="1"/>
  <c r="G583" i="1" s="1"/>
  <c r="F600" i="1" a="1"/>
  <c r="F600" i="1" s="1"/>
  <c r="I587" i="1" a="1"/>
  <c r="I587" i="1" s="1"/>
  <c r="H582" i="1" a="1"/>
  <c r="H582" i="1" s="1"/>
  <c r="K583" i="1" a="1"/>
  <c r="K583" i="1" s="1"/>
  <c r="H594" i="1" a="1"/>
  <c r="H594" i="1" s="1"/>
  <c r="G593" i="1" a="1"/>
  <c r="G593" i="1" s="1"/>
  <c r="G594" i="1" a="1"/>
  <c r="G594" i="1" s="1"/>
  <c r="J587" i="1" a="1"/>
  <c r="J587" i="1" s="1"/>
  <c r="K586" i="1" a="1"/>
  <c r="K586" i="1" s="1"/>
  <c r="J594" i="1" a="1"/>
  <c r="J594" i="1" s="1"/>
  <c r="H593" i="1" a="1"/>
  <c r="H593" i="1" s="1"/>
  <c r="I583" i="1" a="1"/>
  <c r="I583" i="1" s="1"/>
  <c r="I591" i="1" a="1"/>
  <c r="I591" i="1" s="1"/>
  <c r="G587" i="1" a="1"/>
  <c r="G587" i="1" s="1"/>
  <c r="I586" i="1" a="1"/>
  <c r="I586" i="1" s="1"/>
  <c r="K582" i="1" a="1"/>
  <c r="K582" i="1" s="1"/>
  <c r="J583" i="1" a="1"/>
  <c r="J583" i="1" s="1"/>
  <c r="F594" i="1" a="1"/>
  <c r="F594" i="1" s="1"/>
  <c r="K593" i="1" a="1"/>
  <c r="K593" i="1" s="1"/>
  <c r="K591" i="1" a="1"/>
  <c r="K591" i="1" s="1"/>
  <c r="F591" i="1" a="1"/>
  <c r="F591" i="1" s="1"/>
  <c r="K590" i="1" a="1"/>
  <c r="K590" i="1" s="1"/>
  <c r="K587" i="1" a="1"/>
  <c r="K587" i="1" s="1"/>
  <c r="G586" i="1" a="1"/>
  <c r="G586" i="1" s="1"/>
  <c r="F590" i="1" a="1"/>
  <c r="F590" i="1" s="1"/>
  <c r="G591" i="1" a="1"/>
  <c r="G591" i="1" s="1"/>
  <c r="F582" i="1" a="1"/>
  <c r="F582" i="1" s="1"/>
  <c r="J590" i="1" a="1"/>
  <c r="J590" i="1" s="1"/>
  <c r="J582" i="1" a="1"/>
  <c r="J582" i="1" s="1"/>
  <c r="G582" i="1" a="1"/>
  <c r="G582" i="1" s="1"/>
  <c r="I594" i="1" a="1"/>
  <c r="I594" i="1" s="1"/>
  <c r="H586" i="1" a="1"/>
  <c r="H586" i="1" s="1"/>
  <c r="I582" i="1" a="1"/>
  <c r="I582" i="1" s="1"/>
  <c r="J591" i="1" a="1"/>
  <c r="J591" i="1" s="1"/>
  <c r="J593" i="1" a="1"/>
  <c r="J593" i="1" s="1"/>
  <c r="J586" i="1" a="1"/>
  <c r="J586" i="1" s="1"/>
  <c r="F593" i="1" a="1"/>
  <c r="F593" i="1" s="1"/>
  <c r="I590" i="1" a="1"/>
  <c r="I590" i="1" s="1"/>
  <c r="F587" i="1" a="1"/>
  <c r="F587" i="1" s="1"/>
  <c r="F583" i="1" a="1"/>
  <c r="F583" i="1" s="1"/>
  <c r="H587" i="1" a="1"/>
  <c r="H587" i="1" s="1"/>
  <c r="F586" i="1" a="1"/>
  <c r="F586" i="1" s="1"/>
  <c r="H583" i="1" a="1"/>
  <c r="H583" i="1" s="1"/>
  <c r="J600" i="1" a="1"/>
  <c r="J600" i="1" s="1"/>
  <c r="I600" i="1" a="1"/>
  <c r="I600" i="1" s="1"/>
  <c r="H600" i="1" a="1"/>
  <c r="H600" i="1" s="1"/>
  <c r="G600" i="1" a="1"/>
  <c r="G600" i="1" s="1"/>
  <c r="K594" i="1" a="1"/>
  <c r="K594" i="1" s="1"/>
  <c r="I593" i="1" a="1"/>
  <c r="I593" i="1" s="1"/>
  <c r="H591" i="1" a="1"/>
  <c r="H591" i="1" s="1"/>
  <c r="H590" i="1" a="1"/>
  <c r="H590" i="1" s="1"/>
  <c r="G590" i="1" a="1"/>
  <c r="G590" i="1" s="1"/>
  <c r="K31" i="1" a="1"/>
  <c r="K31" i="1" s="1"/>
  <c r="F31" i="1" a="1"/>
  <c r="F31" i="1" s="1"/>
  <c r="K30" i="1" a="1"/>
  <c r="K30" i="1" s="1"/>
  <c r="J30" i="1" a="1"/>
  <c r="J30" i="1" s="1"/>
  <c r="H30" i="1" a="1"/>
  <c r="H30" i="1" s="1"/>
  <c r="G30" i="1" a="1"/>
  <c r="G30" i="1" s="1"/>
  <c r="F30" i="1" a="1"/>
  <c r="F30" i="1" s="1"/>
  <c r="J31" i="1" a="1"/>
  <c r="J31" i="1" s="1"/>
  <c r="I31" i="1" a="1"/>
  <c r="I31" i="1" s="1"/>
  <c r="I30" i="1" a="1"/>
  <c r="I30" i="1" s="1"/>
  <c r="H31" i="1" a="1"/>
  <c r="H31" i="1" s="1"/>
  <c r="G31" i="1" a="1"/>
  <c r="G31" i="1" s="1"/>
  <c r="K19" i="1"/>
  <c r="J19" i="1"/>
  <c r="J18" i="1" s="1"/>
  <c r="I19" i="1"/>
  <c r="H19" i="1"/>
  <c r="H18" i="1" s="1"/>
  <c r="G19" i="1"/>
  <c r="G18" i="1" s="1"/>
  <c r="F19" i="1"/>
  <c r="K18" i="1"/>
  <c r="I18" i="1"/>
  <c r="F18" i="1"/>
  <c r="H240" i="1" a="1"/>
  <c r="H240" i="1" s="1"/>
  <c r="K282" i="1" a="1"/>
  <c r="K282" i="1" s="1"/>
  <c r="G273" i="1" a="1"/>
  <c r="G273" i="1"/>
  <c r="K240" i="1" a="1"/>
  <c r="K240" i="1" s="1"/>
  <c r="K239" i="1" s="1"/>
  <c r="H273" i="1" a="1"/>
  <c r="H273" i="1" s="1"/>
  <c r="H272" i="1" s="1"/>
  <c r="I273" i="1" a="1"/>
  <c r="I273" i="1" s="1"/>
  <c r="I272" i="1" s="1"/>
  <c r="K273" i="1" a="1"/>
  <c r="K273" i="1" s="1"/>
  <c r="I282" i="1" a="1"/>
  <c r="I282" i="1" s="1"/>
  <c r="I281" i="1" s="1"/>
  <c r="I240" i="1" a="1"/>
  <c r="I240" i="1" s="1"/>
  <c r="F240" i="1" a="1"/>
  <c r="F240" i="1" s="1"/>
  <c r="J282" i="1" a="1"/>
  <c r="J282" i="1" s="1"/>
  <c r="J281" i="1" s="1"/>
  <c r="H282" i="1" a="1"/>
  <c r="H282" i="1" s="1"/>
  <c r="F282" i="1" a="1"/>
  <c r="F282" i="1" s="1"/>
  <c r="J273" i="1" a="1"/>
  <c r="J273" i="1" s="1"/>
  <c r="J272" i="1" s="1"/>
  <c r="F273" i="1" a="1"/>
  <c r="F273" i="1" s="1"/>
  <c r="F272" i="1" s="1"/>
  <c r="J240" i="1" a="1"/>
  <c r="J240" i="1" s="1"/>
  <c r="J239" i="1" s="1"/>
  <c r="G240" i="1" a="1"/>
  <c r="G240" i="1" s="1"/>
  <c r="G282" i="1" a="1"/>
  <c r="G282" i="1" s="1"/>
  <c r="G281" i="1" s="1"/>
  <c r="I197" i="1" a="1"/>
  <c r="I197" i="1" s="1"/>
  <c r="J197" i="1" a="1"/>
  <c r="J197" i="1" s="1"/>
  <c r="J196" i="1" s="1"/>
  <c r="H197" i="1" a="1"/>
  <c r="H197" i="1" s="1"/>
  <c r="H196" i="1" s="1"/>
  <c r="F197" i="1" a="1"/>
  <c r="F197" i="1" s="1"/>
  <c r="F196" i="1" s="1"/>
  <c r="G197" i="1" a="1"/>
  <c r="G197" i="1" s="1"/>
  <c r="G196" i="1" s="1"/>
  <c r="K197" i="1" a="1"/>
  <c r="K197" i="1" s="1"/>
  <c r="K53" i="1" a="1"/>
  <c r="K53" i="1" s="1"/>
  <c r="I59" i="1" a="1"/>
  <c r="I59" i="1" s="1"/>
  <c r="I57" i="1" a="1"/>
  <c r="I57" i="1" s="1"/>
  <c r="K60" i="1" a="1"/>
  <c r="K60" i="1" s="1"/>
  <c r="J60" i="1" a="1"/>
  <c r="J60" i="1" s="1"/>
  <c r="J57" i="1" a="1"/>
  <c r="J57" i="1" s="1"/>
  <c r="K58" i="1" a="1"/>
  <c r="K58" i="1" s="1"/>
  <c r="J53" i="1" a="1"/>
  <c r="J53" i="1" s="1"/>
  <c r="I52" i="1" a="1"/>
  <c r="I52" i="1" s="1"/>
  <c r="I60" i="1" a="1"/>
  <c r="I60" i="1" s="1"/>
  <c r="H60" i="1" a="1"/>
  <c r="H60" i="1" s="1"/>
  <c r="G60" i="1" a="1"/>
  <c r="G60" i="1" s="1"/>
  <c r="H59" i="1" a="1"/>
  <c r="H59" i="1" s="1"/>
  <c r="F53" i="1" a="1"/>
  <c r="F53" i="1" s="1"/>
  <c r="G58" i="1" a="1"/>
  <c r="G58" i="1" s="1"/>
  <c r="J52" i="1" a="1"/>
  <c r="J52" i="1" s="1"/>
  <c r="K57" i="1" a="1"/>
  <c r="K57" i="1" s="1"/>
  <c r="F60" i="1" a="1"/>
  <c r="F60" i="1" s="1"/>
  <c r="I51" i="1" a="1"/>
  <c r="I51" i="1" s="1"/>
  <c r="K51" i="1" a="1"/>
  <c r="K51" i="1" s="1"/>
  <c r="H51" i="1" a="1"/>
  <c r="H51" i="1" s="1"/>
  <c r="K59" i="1" a="1"/>
  <c r="K59" i="1" s="1"/>
  <c r="F58" i="1" a="1"/>
  <c r="F58" i="1" s="1"/>
  <c r="J59" i="1" a="1"/>
  <c r="J59" i="1" s="1"/>
  <c r="G52" i="1" a="1"/>
  <c r="G52" i="1" s="1"/>
  <c r="I58" i="1" a="1"/>
  <c r="I58" i="1" s="1"/>
  <c r="G53" i="1" a="1"/>
  <c r="G53" i="1" s="1"/>
  <c r="H53" i="1" a="1"/>
  <c r="H53" i="1" s="1"/>
  <c r="G59" i="1" a="1"/>
  <c r="G59" i="1" s="1"/>
  <c r="H57" i="1" a="1"/>
  <c r="H57" i="1" s="1"/>
  <c r="F52" i="1" a="1"/>
  <c r="F52" i="1" s="1"/>
  <c r="J51" i="1" a="1"/>
  <c r="J51" i="1" s="1"/>
  <c r="F59" i="1" a="1"/>
  <c r="F59" i="1" s="1"/>
  <c r="H52" i="1" a="1"/>
  <c r="H52" i="1" s="1"/>
  <c r="F57" i="1" a="1"/>
  <c r="F57" i="1" s="1"/>
  <c r="J58" i="1" a="1"/>
  <c r="J58" i="1" s="1"/>
  <c r="H58" i="1" a="1"/>
  <c r="H58" i="1" s="1"/>
  <c r="I53" i="1" a="1"/>
  <c r="I53" i="1" s="1"/>
  <c r="K52" i="1" a="1"/>
  <c r="K52" i="1" s="1"/>
  <c r="G57" i="1" a="1"/>
  <c r="G57" i="1" s="1"/>
  <c r="I50" i="1" a="1"/>
  <c r="I50" i="1" s="1"/>
  <c r="G50" i="1" a="1"/>
  <c r="G50" i="1" s="1"/>
  <c r="F50" i="1" a="1"/>
  <c r="F50" i="1" s="1"/>
  <c r="K50" i="1" a="1"/>
  <c r="K50" i="1" s="1"/>
  <c r="G51" i="1" a="1"/>
  <c r="G51" i="1" s="1"/>
  <c r="F51" i="1" a="1"/>
  <c r="F51" i="1" s="1"/>
  <c r="J50" i="1" a="1"/>
  <c r="J50" i="1" s="1"/>
  <c r="H50" i="1" a="1"/>
  <c r="H50" i="1" s="1"/>
  <c r="I14" i="1" a="1"/>
  <c r="I14" i="1" s="1"/>
  <c r="G15" i="1" a="1"/>
  <c r="G15" i="1" s="1"/>
  <c r="I15" i="1" a="1"/>
  <c r="I15" i="1" s="1"/>
  <c r="K13" i="1" a="1"/>
  <c r="K13" i="1" s="1"/>
  <c r="F15" i="1" a="1"/>
  <c r="F15" i="1" s="1"/>
  <c r="J13" i="1" a="1"/>
  <c r="J13" i="1" s="1"/>
  <c r="G14" i="1" a="1"/>
  <c r="G14" i="1" s="1"/>
  <c r="H13" i="1" a="1"/>
  <c r="H13" i="1" s="1"/>
  <c r="H14" i="1" a="1"/>
  <c r="H14" i="1" s="1"/>
  <c r="F13" i="1" a="1"/>
  <c r="F13" i="1" s="1"/>
  <c r="H15" i="1" a="1"/>
  <c r="H15" i="1" s="1"/>
  <c r="J14" i="1" a="1"/>
  <c r="J14" i="1" s="1"/>
  <c r="G13" i="1" a="1"/>
  <c r="G13" i="1" s="1"/>
  <c r="K15" i="1" a="1"/>
  <c r="K15" i="1" s="1"/>
  <c r="F14" i="1" a="1"/>
  <c r="F14" i="1" s="1"/>
  <c r="K14" i="1" a="1"/>
  <c r="K14" i="1" s="1"/>
  <c r="J15" i="1" a="1"/>
  <c r="J15" i="1" s="1"/>
  <c r="I13" i="1" a="1"/>
  <c r="I13" i="1" s="1"/>
  <c r="H54" i="1" a="1"/>
  <c r="H54" i="1" s="1"/>
  <c r="J54" i="1" a="1"/>
  <c r="J54" i="1" s="1"/>
  <c r="I54" i="1" a="1"/>
  <c r="I54" i="1" s="1"/>
  <c r="G54" i="1" a="1"/>
  <c r="G54" i="1" s="1"/>
  <c r="K54" i="1" a="1"/>
  <c r="K54" i="1" s="1"/>
  <c r="F54" i="1" a="1"/>
  <c r="F54" i="1" s="1"/>
  <c r="I41" i="1" a="1"/>
  <c r="I41" i="1" s="1"/>
  <c r="F42" i="1" a="1"/>
  <c r="F42" i="1" s="1"/>
  <c r="K48" i="1" a="1"/>
  <c r="K48" i="1" s="1"/>
  <c r="F41" i="1" a="1"/>
  <c r="F41" i="1" s="1"/>
  <c r="I48" i="1" a="1"/>
  <c r="I48" i="1" s="1"/>
  <c r="G48" i="1" a="1"/>
  <c r="G48" i="1" s="1"/>
  <c r="H48" i="1" a="1"/>
  <c r="H48" i="1" s="1"/>
  <c r="G41" i="1" a="1"/>
  <c r="G41" i="1" s="1"/>
  <c r="K41" i="1" a="1"/>
  <c r="K41" i="1" s="1"/>
  <c r="G42" i="1" a="1"/>
  <c r="G42" i="1" s="1"/>
  <c r="K43" i="1" a="1"/>
  <c r="K43" i="1" s="1"/>
  <c r="J42" i="1" a="1"/>
  <c r="J42" i="1" s="1"/>
  <c r="J43" i="1" a="1"/>
  <c r="J43" i="1" s="1"/>
  <c r="F48" i="1" a="1"/>
  <c r="F48" i="1" s="1"/>
  <c r="J41" i="1" a="1"/>
  <c r="J41" i="1" s="1"/>
  <c r="H43" i="1" a="1"/>
  <c r="H43" i="1" s="1"/>
  <c r="H42" i="1" a="1"/>
  <c r="H42" i="1" s="1"/>
  <c r="G43" i="1" a="1"/>
  <c r="G43" i="1" s="1"/>
  <c r="F43" i="1" a="1"/>
  <c r="F43" i="1" s="1"/>
  <c r="K42" i="1" a="1"/>
  <c r="K42" i="1" s="1"/>
  <c r="I42" i="1" a="1"/>
  <c r="I42" i="1" s="1"/>
  <c r="H41" i="1" a="1"/>
  <c r="H41" i="1" s="1"/>
  <c r="I43" i="1" a="1"/>
  <c r="I43" i="1" s="1"/>
  <c r="J48" i="1" a="1"/>
  <c r="J48" i="1" s="1"/>
  <c r="I26" i="1" a="1"/>
  <c r="I26" i="1" s="1"/>
  <c r="K28" i="1" a="1"/>
  <c r="K28" i="1" s="1"/>
  <c r="F26" i="1" a="1"/>
  <c r="F26" i="1" s="1"/>
  <c r="I28" i="1" a="1"/>
  <c r="I28" i="1" s="1"/>
  <c r="J25" i="1" a="1"/>
  <c r="J25" i="1" s="1"/>
  <c r="H28" i="1" a="1"/>
  <c r="H28" i="1" s="1"/>
  <c r="J27" i="1" a="1"/>
  <c r="J27" i="1" s="1"/>
  <c r="F28" i="1" a="1"/>
  <c r="F28" i="1" s="1"/>
  <c r="F25" i="1" a="1"/>
  <c r="F25" i="1" s="1"/>
  <c r="K25" i="1" a="1"/>
  <c r="K25" i="1" s="1"/>
  <c r="K26" i="1" a="1"/>
  <c r="K26" i="1" s="1"/>
  <c r="G27" i="1" a="1"/>
  <c r="G27" i="1" s="1"/>
  <c r="K27" i="1" a="1"/>
  <c r="K27" i="1" s="1"/>
  <c r="F27" i="1" a="1"/>
  <c r="F27" i="1" s="1"/>
  <c r="G26" i="1" a="1"/>
  <c r="G26" i="1" s="1"/>
  <c r="H26" i="1" a="1"/>
  <c r="H26" i="1" s="1"/>
  <c r="J26" i="1" a="1"/>
  <c r="J26" i="1" s="1"/>
  <c r="G25" i="1" a="1"/>
  <c r="G25" i="1" s="1"/>
  <c r="I25" i="1" a="1"/>
  <c r="I25" i="1" s="1"/>
  <c r="H27" i="1" a="1"/>
  <c r="H27" i="1" s="1"/>
  <c r="J28" i="1" a="1"/>
  <c r="J28" i="1" s="1"/>
  <c r="I27" i="1" a="1"/>
  <c r="I27" i="1" s="1"/>
  <c r="G28" i="1" a="1"/>
  <c r="G28" i="1" s="1"/>
  <c r="H25" i="1" a="1"/>
  <c r="H25" i="1" s="1"/>
  <c r="F16" i="1" a="1"/>
  <c r="F16" i="1" s="1"/>
  <c r="K16" i="1" a="1"/>
  <c r="K16" i="1" s="1"/>
  <c r="G17" i="1" a="1"/>
  <c r="G17" i="1" s="1"/>
  <c r="I16" i="1" a="1"/>
  <c r="I16" i="1" s="1"/>
  <c r="H16" i="1" a="1"/>
  <c r="H16" i="1" s="1"/>
  <c r="G16" i="1" a="1"/>
  <c r="G16" i="1" s="1"/>
  <c r="K21" i="1" a="1"/>
  <c r="K21" i="1" s="1"/>
  <c r="K11" i="1" a="1"/>
  <c r="K11" i="1" s="1"/>
  <c r="H21" i="1" a="1"/>
  <c r="H21" i="1" s="1"/>
  <c r="F21" i="1" a="1"/>
  <c r="F21" i="1" s="1"/>
  <c r="J17" i="1" a="1"/>
  <c r="J17" i="1" s="1"/>
  <c r="J16" i="1" a="1"/>
  <c r="J16" i="1" s="1"/>
  <c r="K17" i="1" a="1"/>
  <c r="K17" i="1" s="1"/>
  <c r="I17" i="1" a="1"/>
  <c r="I17" i="1" s="1"/>
  <c r="F17" i="1" a="1"/>
  <c r="F17" i="1" s="1"/>
  <c r="F24" i="1" a="1"/>
  <c r="F24" i="1" s="1"/>
  <c r="K24" i="1" a="1"/>
  <c r="K24" i="1" s="1"/>
  <c r="J24" i="1" a="1"/>
  <c r="J24" i="1" s="1"/>
  <c r="H24" i="1" a="1"/>
  <c r="H24" i="1" s="1"/>
  <c r="I24" i="1" a="1"/>
  <c r="I24" i="1" s="1"/>
  <c r="J21" i="1" a="1"/>
  <c r="J21" i="1" s="1"/>
  <c r="H17" i="1" a="1"/>
  <c r="H17" i="1" s="1"/>
  <c r="I21" i="1" a="1"/>
  <c r="I21" i="1" s="1"/>
  <c r="G24" i="1" a="1"/>
  <c r="G24" i="1" s="1"/>
  <c r="G21" i="1" a="1"/>
  <c r="G21" i="1" s="1"/>
  <c r="J10" i="1" a="1"/>
  <c r="J10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F10" i="1" a="1"/>
  <c r="F10" i="1" s="1"/>
  <c r="H9" i="1" a="1"/>
  <c r="H9" i="1" s="1"/>
  <c r="F9" i="1" a="1"/>
  <c r="F9" i="1" s="1"/>
  <c r="G7" i="1" a="1"/>
  <c r="G7" i="1" s="1"/>
  <c r="I6" i="1" a="1"/>
  <c r="I6" i="1" s="1"/>
  <c r="H4" i="1" a="1"/>
  <c r="H4" i="1" s="1"/>
  <c r="H6" i="1" a="1"/>
  <c r="H6" i="1" s="1"/>
  <c r="J5" i="1" a="1"/>
  <c r="J5" i="1" s="1"/>
  <c r="I5" i="1" a="1"/>
  <c r="I5" i="1" s="1"/>
  <c r="G5" i="1" a="1"/>
  <c r="G5" i="1" s="1"/>
  <c r="F5" i="1" a="1"/>
  <c r="F5" i="1" s="1"/>
  <c r="K4" i="1" a="1"/>
  <c r="K4" i="1" s="1"/>
  <c r="G10" i="1" a="1"/>
  <c r="G10" i="1" s="1"/>
  <c r="K9" i="1" a="1"/>
  <c r="K9" i="1" s="1"/>
  <c r="I9" i="1" a="1"/>
  <c r="I9" i="1" s="1"/>
  <c r="J7" i="1" a="1"/>
  <c r="J7" i="1" s="1"/>
  <c r="K10" i="1" a="1"/>
  <c r="K10" i="1" s="1"/>
  <c r="G9" i="1" a="1"/>
  <c r="G9" i="1" s="1"/>
  <c r="H7" i="1" a="1"/>
  <c r="H7" i="1" s="1"/>
  <c r="J6" i="1" a="1"/>
  <c r="J6" i="1" s="1"/>
  <c r="I4" i="1" a="1"/>
  <c r="I4" i="1" s="1"/>
  <c r="F4" i="1" a="1"/>
  <c r="F4" i="1" s="1"/>
  <c r="J9" i="1" a="1"/>
  <c r="J9" i="1" s="1"/>
  <c r="J11" i="1" a="1"/>
  <c r="J11" i="1" s="1"/>
  <c r="K6" i="1" a="1"/>
  <c r="K6" i="1" s="1"/>
  <c r="K5" i="1" a="1"/>
  <c r="K5" i="1" s="1"/>
  <c r="H5" i="1" a="1"/>
  <c r="H5" i="1" s="1"/>
  <c r="K7" i="1" a="1"/>
  <c r="K7" i="1" s="1"/>
  <c r="G4" i="1" a="1"/>
  <c r="G4" i="1" s="1"/>
  <c r="G6" i="1" a="1"/>
  <c r="G6" i="1" s="1"/>
  <c r="I7" i="1" a="1"/>
  <c r="I7" i="1" s="1"/>
  <c r="F7" i="1" a="1"/>
  <c r="F7" i="1" s="1"/>
  <c r="J4" i="1" a="1"/>
  <c r="J4" i="1" s="1"/>
  <c r="I11" i="1" a="1"/>
  <c r="I11" i="1" s="1"/>
  <c r="F6" i="1" a="1"/>
  <c r="F6" i="1" s="1"/>
  <c r="J359" i="1" l="1"/>
  <c r="J426" i="1" s="1"/>
  <c r="F2230" i="1"/>
  <c r="G740" i="1" a="1"/>
  <c r="G740" i="1" s="1"/>
  <c r="G742" i="1" s="1" a="1"/>
  <c r="G742" i="1" s="1"/>
  <c r="J2230" i="1"/>
  <c r="H2308" i="1"/>
  <c r="K2308" i="1"/>
  <c r="J2308" i="1"/>
  <c r="I2308" i="1"/>
  <c r="G2308" i="1"/>
  <c r="F2308" i="1"/>
  <c r="I724" i="1" a="1"/>
  <c r="I724" i="1" s="1"/>
  <c r="I726" i="1" s="1" a="1"/>
  <c r="I726" i="1" s="1"/>
  <c r="I2268" i="1"/>
  <c r="F2274" i="1"/>
  <c r="K2271" i="1"/>
  <c r="K2274" i="1"/>
  <c r="I2274" i="1"/>
  <c r="I2290" i="1"/>
  <c r="G2268" i="1"/>
  <c r="H2271" i="1"/>
  <c r="G2274" i="1"/>
  <c r="F2290" i="1"/>
  <c r="H2290" i="1"/>
  <c r="J2268" i="1"/>
  <c r="G2271" i="1"/>
  <c r="J2274" i="1"/>
  <c r="G2290" i="1"/>
  <c r="K2296" i="1"/>
  <c r="K2290" i="1" s="1"/>
  <c r="F2229" i="1"/>
  <c r="H2229" i="1"/>
  <c r="J2235" i="1"/>
  <c r="J2229" i="1" s="1"/>
  <c r="F2249" i="1"/>
  <c r="I2249" i="1"/>
  <c r="I2248" i="1" s="1"/>
  <c r="H2254" i="1"/>
  <c r="H2248" i="1" s="1"/>
  <c r="K2254" i="1"/>
  <c r="K2248" i="1" s="1"/>
  <c r="F2268" i="1"/>
  <c r="K2268" i="1"/>
  <c r="J2271" i="1"/>
  <c r="J2296" i="1"/>
  <c r="G2229" i="1"/>
  <c r="I2235" i="1"/>
  <c r="I2229" i="1" s="1"/>
  <c r="K2235" i="1"/>
  <c r="K2229" i="1" s="1"/>
  <c r="K2228" i="1" s="1"/>
  <c r="G2249" i="1"/>
  <c r="G2248" i="1" s="1"/>
  <c r="J2249" i="1"/>
  <c r="F2254" i="1"/>
  <c r="J2254" i="1"/>
  <c r="H2268" i="1"/>
  <c r="H2267" i="1" s="1"/>
  <c r="F2271" i="1"/>
  <c r="J2290" i="1"/>
  <c r="K2089" i="1"/>
  <c r="J2089" i="1"/>
  <c r="I2089" i="1"/>
  <c r="H2089" i="1"/>
  <c r="G2089" i="1"/>
  <c r="F2089" i="1"/>
  <c r="H2056" i="1"/>
  <c r="H2045" i="1" s="1"/>
  <c r="G2056" i="1"/>
  <c r="G2045" i="1" s="1"/>
  <c r="F2056" i="1"/>
  <c r="F2045" i="1" s="1"/>
  <c r="K2056" i="1"/>
  <c r="K2045" i="1" s="1"/>
  <c r="J2056" i="1"/>
  <c r="J2045" i="1" s="1"/>
  <c r="I2056" i="1"/>
  <c r="I2045" i="1" s="1"/>
  <c r="K298" i="1"/>
  <c r="K411" i="1" s="1"/>
  <c r="J298" i="1"/>
  <c r="J411" i="1" s="1"/>
  <c r="I298" i="1"/>
  <c r="I411" i="1" s="1"/>
  <c r="H298" i="1"/>
  <c r="H411" i="1" s="1"/>
  <c r="G298" i="1"/>
  <c r="G411" i="1" s="1"/>
  <c r="F2218" i="1"/>
  <c r="G2218" i="1"/>
  <c r="H2218" i="1"/>
  <c r="I2218" i="1"/>
  <c r="J2218" i="1"/>
  <c r="K2218" i="1"/>
  <c r="F2208" i="1"/>
  <c r="G2208" i="1"/>
  <c r="H2208" i="1"/>
  <c r="I2208" i="1"/>
  <c r="J2208" i="1"/>
  <c r="K2208" i="1"/>
  <c r="K2184" i="1"/>
  <c r="H2184" i="1"/>
  <c r="G2160" i="1"/>
  <c r="H2160" i="1"/>
  <c r="F2184" i="1"/>
  <c r="J2160" i="1"/>
  <c r="G2184" i="1"/>
  <c r="J2184" i="1"/>
  <c r="K2160" i="1"/>
  <c r="I2184" i="1"/>
  <c r="F2160" i="1"/>
  <c r="I2160" i="1"/>
  <c r="J398" i="1"/>
  <c r="J518" i="1" s="1"/>
  <c r="H398" i="1"/>
  <c r="H518" i="1" s="1"/>
  <c r="G398" i="1"/>
  <c r="G518" i="1" s="1"/>
  <c r="F398" i="1"/>
  <c r="F518" i="1" s="1"/>
  <c r="J397" i="1"/>
  <c r="J517" i="1" s="1"/>
  <c r="I397" i="1"/>
  <c r="I517" i="1" s="1"/>
  <c r="H397" i="1"/>
  <c r="H517" i="1" s="1"/>
  <c r="G397" i="1"/>
  <c r="G517" i="1" s="1"/>
  <c r="F397" i="1"/>
  <c r="F517" i="1" s="1"/>
  <c r="H740" i="1" a="1"/>
  <c r="H740" i="1" s="1"/>
  <c r="H742" i="1" s="1" a="1"/>
  <c r="H742" i="1" s="1"/>
  <c r="J2109" i="1"/>
  <c r="I2109" i="1"/>
  <c r="F2109" i="1"/>
  <c r="G2109" i="1"/>
  <c r="H2109" i="1"/>
  <c r="K2109" i="1"/>
  <c r="J384" i="1"/>
  <c r="J515" i="1" s="1"/>
  <c r="H384" i="1"/>
  <c r="H515" i="1" s="1"/>
  <c r="G384" i="1"/>
  <c r="G515" i="1" s="1"/>
  <c r="F384" i="1"/>
  <c r="F515" i="1" s="1"/>
  <c r="J383" i="1"/>
  <c r="J514" i="1" s="1"/>
  <c r="H383" i="1"/>
  <c r="H514" i="1" s="1"/>
  <c r="G383" i="1"/>
  <c r="G514" i="1" s="1"/>
  <c r="F383" i="1"/>
  <c r="F514" i="1" s="1"/>
  <c r="K382" i="1"/>
  <c r="K513" i="1" s="1"/>
  <c r="J382" i="1"/>
  <c r="J513" i="1" s="1"/>
  <c r="H382" i="1"/>
  <c r="H513" i="1" s="1"/>
  <c r="F382" i="1"/>
  <c r="F513" i="1" s="1"/>
  <c r="K378" i="1"/>
  <c r="K435" i="1" s="1"/>
  <c r="J378" i="1"/>
  <c r="J435" i="1" s="1"/>
  <c r="H378" i="1"/>
  <c r="H435" i="1" s="1"/>
  <c r="G378" i="1"/>
  <c r="G435" i="1" s="1"/>
  <c r="F362" i="1"/>
  <c r="F381" i="1"/>
  <c r="F512" i="1" s="1"/>
  <c r="F281" i="1"/>
  <c r="F380" i="1" s="1"/>
  <c r="F511" i="1" s="1"/>
  <c r="G781" i="1"/>
  <c r="G784" i="1"/>
  <c r="G785" i="1" s="1"/>
  <c r="I781" i="1"/>
  <c r="I784" i="1"/>
  <c r="I785" i="1" s="1"/>
  <c r="J900" i="1"/>
  <c r="H897" i="1"/>
  <c r="G897" i="1"/>
  <c r="K398" i="1"/>
  <c r="K518" i="1" s="1"/>
  <c r="I398" i="1"/>
  <c r="I518" i="1" s="1"/>
  <c r="K397" i="1"/>
  <c r="K517" i="1" s="1"/>
  <c r="K384" i="1"/>
  <c r="K515" i="1" s="1"/>
  <c r="I384" i="1"/>
  <c r="I515" i="1" s="1"/>
  <c r="K383" i="1"/>
  <c r="K514" i="1" s="1"/>
  <c r="I383" i="1"/>
  <c r="I514" i="1" s="1"/>
  <c r="I382" i="1"/>
  <c r="I513" i="1" s="1"/>
  <c r="G321" i="1"/>
  <c r="G476" i="1" s="1"/>
  <c r="I378" i="1"/>
  <c r="I435" i="1" s="1"/>
  <c r="F378" i="1"/>
  <c r="F435" i="1" s="1"/>
  <c r="G313" i="1"/>
  <c r="G418" i="1" s="1"/>
  <c r="G312" i="1"/>
  <c r="G417" i="1" s="1"/>
  <c r="F312" i="1"/>
  <c r="F417" i="1" s="1"/>
  <c r="F298" i="1"/>
  <c r="F411" i="1" s="1"/>
  <c r="G724" i="1" a="1"/>
  <c r="G724" i="1" s="1"/>
  <c r="G726" i="1" s="1" a="1"/>
  <c r="G726" i="1" s="1"/>
  <c r="K740" i="1" a="1"/>
  <c r="K740" i="1" s="1"/>
  <c r="K742" i="1" s="1" a="1"/>
  <c r="K742" i="1" s="1"/>
  <c r="H315" i="1"/>
  <c r="H470" i="1" s="1"/>
  <c r="G362" i="1"/>
  <c r="K314" i="1"/>
  <c r="K469" i="1" s="1"/>
  <c r="H361" i="1"/>
  <c r="H502" i="1" s="1"/>
  <c r="I380" i="1"/>
  <c r="I511" i="1" s="1"/>
  <c r="F315" i="1"/>
  <c r="F470" i="1" s="1"/>
  <c r="J380" i="1"/>
  <c r="J511" i="1" s="1"/>
  <c r="J361" i="1"/>
  <c r="J502" i="1" s="1"/>
  <c r="F361" i="1"/>
  <c r="F502" i="1" s="1"/>
  <c r="G380" i="1"/>
  <c r="G511" i="1" s="1"/>
  <c r="H784" i="1"/>
  <c r="H785" i="1" s="1"/>
  <c r="H781" i="1"/>
  <c r="F784" i="1"/>
  <c r="F785" i="1" s="1"/>
  <c r="F781" i="1"/>
  <c r="K323" i="1"/>
  <c r="K478" i="1" s="1"/>
  <c r="K127" i="1"/>
  <c r="I127" i="1"/>
  <c r="I323" i="1"/>
  <c r="I478" i="1" s="1"/>
  <c r="H127" i="1"/>
  <c r="H323" i="1"/>
  <c r="H478" i="1" s="1"/>
  <c r="G323" i="1"/>
  <c r="G478" i="1" s="1"/>
  <c r="G127" i="1"/>
  <c r="I126" i="1"/>
  <c r="I322" i="1"/>
  <c r="I477" i="1" s="1"/>
  <c r="H126" i="1"/>
  <c r="H322" i="1"/>
  <c r="H477" i="1" s="1"/>
  <c r="G322" i="1"/>
  <c r="G477" i="1" s="1"/>
  <c r="G126" i="1"/>
  <c r="F322" i="1"/>
  <c r="F477" i="1" s="1"/>
  <c r="F126" i="1"/>
  <c r="I124" i="1"/>
  <c r="I320" i="1"/>
  <c r="I475" i="1" s="1"/>
  <c r="G124" i="1"/>
  <c r="G320" i="1"/>
  <c r="G475" i="1" s="1"/>
  <c r="K319" i="1"/>
  <c r="K474" i="1" s="1"/>
  <c r="K123" i="1"/>
  <c r="G123" i="1"/>
  <c r="G319" i="1"/>
  <c r="G474" i="1" s="1"/>
  <c r="K122" i="1"/>
  <c r="K318" i="1"/>
  <c r="K473" i="1" s="1"/>
  <c r="J122" i="1"/>
  <c r="J318" i="1"/>
  <c r="J473" i="1" s="1"/>
  <c r="I318" i="1"/>
  <c r="I473" i="1" s="1"/>
  <c r="I122" i="1"/>
  <c r="F318" i="1"/>
  <c r="F473" i="1" s="1"/>
  <c r="F122" i="1"/>
  <c r="G317" i="1"/>
  <c r="G472" i="1" s="1"/>
  <c r="G121" i="1"/>
  <c r="F121" i="1"/>
  <c r="F317" i="1"/>
  <c r="F472" i="1" s="1"/>
  <c r="K316" i="1"/>
  <c r="K471" i="1" s="1"/>
  <c r="K120" i="1"/>
  <c r="J316" i="1"/>
  <c r="J471" i="1" s="1"/>
  <c r="J120" i="1"/>
  <c r="I316" i="1"/>
  <c r="I471" i="1" s="1"/>
  <c r="I120" i="1"/>
  <c r="G120" i="1"/>
  <c r="G316" i="1"/>
  <c r="G471" i="1" s="1"/>
  <c r="F120" i="1"/>
  <c r="F316" i="1"/>
  <c r="F471" i="1" s="1"/>
  <c r="K117" i="1"/>
  <c r="K313" i="1"/>
  <c r="K418" i="1" s="1"/>
  <c r="J313" i="1"/>
  <c r="J418" i="1" s="1"/>
  <c r="J117" i="1"/>
  <c r="I117" i="1"/>
  <c r="I313" i="1"/>
  <c r="I418" i="1" s="1"/>
  <c r="K312" i="1"/>
  <c r="K417" i="1" s="1"/>
  <c r="K116" i="1"/>
  <c r="J312" i="1"/>
  <c r="J417" i="1" s="1"/>
  <c r="J116" i="1"/>
  <c r="I116" i="1"/>
  <c r="I312" i="1"/>
  <c r="I417" i="1" s="1"/>
  <c r="I361" i="1"/>
  <c r="I502" i="1" s="1"/>
  <c r="H281" i="1"/>
  <c r="H380" i="1" s="1"/>
  <c r="H511" i="1" s="1"/>
  <c r="H381" i="1"/>
  <c r="H512" i="1" s="1"/>
  <c r="K272" i="1"/>
  <c r="K361" i="1" s="1"/>
  <c r="K502" i="1" s="1"/>
  <c r="K362" i="1"/>
  <c r="F359" i="1"/>
  <c r="F426" i="1" s="1"/>
  <c r="I360" i="1"/>
  <c r="I427" i="1" s="1"/>
  <c r="I196" i="1"/>
  <c r="I359" i="1" s="1"/>
  <c r="I426" i="1" s="1"/>
  <c r="G239" i="1"/>
  <c r="G314" i="1" s="1"/>
  <c r="G469" i="1" s="1"/>
  <c r="G315" i="1"/>
  <c r="G470" i="1" s="1"/>
  <c r="J381" i="1"/>
  <c r="J512" i="1" s="1"/>
  <c r="K381" i="1"/>
  <c r="K512" i="1" s="1"/>
  <c r="K281" i="1"/>
  <c r="K380" i="1" s="1"/>
  <c r="K511" i="1" s="1"/>
  <c r="J724" i="1" a="1"/>
  <c r="J724" i="1" s="1"/>
  <c r="J726" i="1" s="1" a="1"/>
  <c r="J726" i="1" s="1"/>
  <c r="J740" i="1" a="1"/>
  <c r="J740" i="1" s="1"/>
  <c r="J742" i="1" s="1" a="1"/>
  <c r="J742" i="1" s="1"/>
  <c r="K784" i="1"/>
  <c r="K785" i="1" s="1"/>
  <c r="K781" i="1"/>
  <c r="K360" i="1"/>
  <c r="K427" i="1" s="1"/>
  <c r="K196" i="1"/>
  <c r="K359" i="1" s="1"/>
  <c r="K426" i="1" s="1"/>
  <c r="F117" i="1"/>
  <c r="F313" i="1"/>
  <c r="F418" i="1" s="1"/>
  <c r="J362" i="1"/>
  <c r="I381" i="1"/>
  <c r="I512" i="1" s="1"/>
  <c r="G381" i="1"/>
  <c r="G512" i="1" s="1"/>
  <c r="H313" i="1"/>
  <c r="H418" i="1" s="1"/>
  <c r="G272" i="1"/>
  <c r="G361" i="1" s="1"/>
  <c r="G502" i="1" s="1"/>
  <c r="F127" i="1"/>
  <c r="J315" i="1"/>
  <c r="J470" i="1" s="1"/>
  <c r="K901" i="1"/>
  <c r="K900" i="1"/>
  <c r="K923" i="1"/>
  <c r="K922" i="1" s="1"/>
  <c r="K897" i="1"/>
  <c r="H121" i="1"/>
  <c r="I362" i="1"/>
  <c r="H320" i="1"/>
  <c r="H475" i="1" s="1"/>
  <c r="H124" i="1"/>
  <c r="F360" i="1"/>
  <c r="F427" i="1" s="1"/>
  <c r="G360" i="1"/>
  <c r="G427" i="1" s="1"/>
  <c r="H122" i="1"/>
  <c r="J127" i="1"/>
  <c r="H316" i="1"/>
  <c r="H471" i="1" s="1"/>
  <c r="F118" i="1"/>
  <c r="H360" i="1"/>
  <c r="H427" i="1" s="1"/>
  <c r="F396" i="1"/>
  <c r="F437" i="1" s="1"/>
  <c r="K320" i="1"/>
  <c r="K475" i="1" s="1"/>
  <c r="G382" i="1"/>
  <c r="G513" i="1" s="1"/>
  <c r="F239" i="1"/>
  <c r="F314" i="1" s="1"/>
  <c r="F469" i="1" s="1"/>
  <c r="I317" i="1"/>
  <c r="I472" i="1" s="1"/>
  <c r="J360" i="1"/>
  <c r="J427" i="1" s="1"/>
  <c r="H396" i="1"/>
  <c r="H437" i="1" s="1"/>
  <c r="J317" i="1"/>
  <c r="J472" i="1" s="1"/>
  <c r="I239" i="1"/>
  <c r="I314" i="1" s="1"/>
  <c r="I469" i="1" s="1"/>
  <c r="I396" i="1"/>
  <c r="I437" i="1" s="1"/>
  <c r="H239" i="1"/>
  <c r="H314" i="1" s="1"/>
  <c r="H469" i="1" s="1"/>
  <c r="K317" i="1"/>
  <c r="K472" i="1" s="1"/>
  <c r="H359" i="1"/>
  <c r="H426" i="1" s="1"/>
  <c r="I901" i="1"/>
  <c r="I900" i="1"/>
  <c r="I923" i="1"/>
  <c r="I922" i="1" s="1"/>
  <c r="H139" i="1" a="1"/>
  <c r="H139" i="1" s="1"/>
  <c r="I123" i="1"/>
  <c r="G318" i="1"/>
  <c r="G473" i="1" s="1"/>
  <c r="H724" i="1" a="1"/>
  <c r="H724" i="1" s="1"/>
  <c r="H726" i="1" s="1" a="1"/>
  <c r="H726" i="1" s="1"/>
  <c r="I740" i="1" a="1"/>
  <c r="I740" i="1" s="1"/>
  <c r="I742" i="1" s="1" a="1"/>
  <c r="I742" i="1" s="1"/>
  <c r="J123" i="1"/>
  <c r="J322" i="1"/>
  <c r="J477" i="1" s="1"/>
  <c r="I315" i="1"/>
  <c r="I470" i="1" s="1"/>
  <c r="H116" i="1"/>
  <c r="H312" i="1"/>
  <c r="H417" i="1" s="1"/>
  <c r="F123" i="1"/>
  <c r="F319" i="1"/>
  <c r="F474" i="1" s="1"/>
  <c r="J124" i="1"/>
  <c r="F724" i="1" a="1"/>
  <c r="F724" i="1" s="1"/>
  <c r="F726" i="1" s="1" a="1"/>
  <c r="F726" i="1" s="1"/>
  <c r="K315" i="1"/>
  <c r="K470" i="1" s="1"/>
  <c r="J314" i="1"/>
  <c r="J469" i="1" s="1"/>
  <c r="F900" i="1"/>
  <c r="F897" i="1"/>
  <c r="F740" i="1" a="1"/>
  <c r="F740" i="1" s="1"/>
  <c r="F742" i="1" s="1" a="1"/>
  <c r="F742" i="1" s="1"/>
  <c r="H319" i="1"/>
  <c r="H474" i="1" s="1"/>
  <c r="H362" i="1"/>
  <c r="J781" i="1"/>
  <c r="J784" i="1"/>
  <c r="J785" i="1" s="1"/>
  <c r="K322" i="1"/>
  <c r="K477" i="1" s="1"/>
  <c r="G359" i="1"/>
  <c r="G426" i="1" s="1"/>
  <c r="I897" i="1"/>
  <c r="J897" i="1"/>
  <c r="H117" i="1"/>
  <c r="F923" i="1"/>
  <c r="F922" i="1" s="1"/>
  <c r="G923" i="1"/>
  <c r="G922" i="1" s="1"/>
  <c r="H923" i="1"/>
  <c r="H922" i="1" s="1"/>
  <c r="F320" i="1"/>
  <c r="F475" i="1" s="1"/>
  <c r="J923" i="1"/>
  <c r="J922" i="1" s="1"/>
  <c r="G900" i="1"/>
  <c r="H900" i="1"/>
  <c r="F901" i="1"/>
  <c r="J2025" i="1"/>
  <c r="I2025" i="1"/>
  <c r="H2025" i="1"/>
  <c r="G2025" i="1"/>
  <c r="F2025" i="1"/>
  <c r="J2022" i="1"/>
  <c r="I2022" i="1"/>
  <c r="H2022" i="1"/>
  <c r="G2022" i="1"/>
  <c r="F2022" i="1"/>
  <c r="E1899" i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K1896" i="1"/>
  <c r="J1896" i="1"/>
  <c r="I1896" i="1"/>
  <c r="H1896" i="1"/>
  <c r="G1896" i="1"/>
  <c r="K1894" i="1"/>
  <c r="J1894" i="1"/>
  <c r="I1894" i="1"/>
  <c r="H1894" i="1"/>
  <c r="G1894" i="1"/>
  <c r="K1892" i="1"/>
  <c r="J1892" i="1"/>
  <c r="I1892" i="1"/>
  <c r="H1892" i="1"/>
  <c r="G1892" i="1"/>
  <c r="K1890" i="1"/>
  <c r="J1890" i="1"/>
  <c r="I1890" i="1"/>
  <c r="H1890" i="1"/>
  <c r="G1890" i="1"/>
  <c r="K1884" i="1"/>
  <c r="J1884" i="1"/>
  <c r="I1884" i="1"/>
  <c r="H1884" i="1"/>
  <c r="G1884" i="1"/>
  <c r="J1881" i="1"/>
  <c r="F1896" i="1"/>
  <c r="F1894" i="1"/>
  <c r="F1892" i="1"/>
  <c r="F1890" i="1"/>
  <c r="F1884" i="1"/>
  <c r="K1878" i="1"/>
  <c r="J1878" i="1"/>
  <c r="I1878" i="1"/>
  <c r="H1878" i="1"/>
  <c r="G1878" i="1"/>
  <c r="K1876" i="1"/>
  <c r="J1876" i="1"/>
  <c r="I1876" i="1"/>
  <c r="H1876" i="1"/>
  <c r="G1876" i="1"/>
  <c r="K1874" i="1"/>
  <c r="J1874" i="1"/>
  <c r="I1874" i="1"/>
  <c r="H1874" i="1"/>
  <c r="G1874" i="1"/>
  <c r="K1872" i="1"/>
  <c r="J1872" i="1"/>
  <c r="I1872" i="1"/>
  <c r="H1872" i="1"/>
  <c r="G1872" i="1"/>
  <c r="K1870" i="1"/>
  <c r="J1870" i="1"/>
  <c r="I1870" i="1"/>
  <c r="H1870" i="1"/>
  <c r="G1870" i="1"/>
  <c r="K1868" i="1"/>
  <c r="J1868" i="1"/>
  <c r="I1868" i="1"/>
  <c r="H1868" i="1"/>
  <c r="G1868" i="1"/>
  <c r="K1864" i="1"/>
  <c r="F1878" i="1"/>
  <c r="F1876" i="1"/>
  <c r="F1874" i="1"/>
  <c r="F1872" i="1"/>
  <c r="F1870" i="1"/>
  <c r="F1868" i="1"/>
  <c r="F1861" i="1"/>
  <c r="K1855" i="1"/>
  <c r="J1855" i="1"/>
  <c r="I1855" i="1"/>
  <c r="H1855" i="1"/>
  <c r="G1855" i="1"/>
  <c r="F1855" i="1"/>
  <c r="K1853" i="1"/>
  <c r="J1853" i="1"/>
  <c r="I1853" i="1"/>
  <c r="H1853" i="1"/>
  <c r="G1853" i="1"/>
  <c r="F1853" i="1"/>
  <c r="K1851" i="1"/>
  <c r="J1851" i="1"/>
  <c r="I1851" i="1"/>
  <c r="H1851" i="1"/>
  <c r="G1851" i="1"/>
  <c r="F1851" i="1"/>
  <c r="K1849" i="1"/>
  <c r="J1849" i="1"/>
  <c r="I1849" i="1"/>
  <c r="H1849" i="1"/>
  <c r="G1849" i="1"/>
  <c r="F1849" i="1"/>
  <c r="K1847" i="1"/>
  <c r="J1847" i="1"/>
  <c r="I1847" i="1"/>
  <c r="H1847" i="1"/>
  <c r="G1847" i="1"/>
  <c r="F1847" i="1"/>
  <c r="K1842" i="1"/>
  <c r="J1842" i="1"/>
  <c r="I1842" i="1"/>
  <c r="H1842" i="1"/>
  <c r="G1842" i="1"/>
  <c r="F1842" i="1"/>
  <c r="E1819" i="1"/>
  <c r="K1836" i="1"/>
  <c r="J1836" i="1"/>
  <c r="I1836" i="1"/>
  <c r="H1836" i="1"/>
  <c r="G1836" i="1"/>
  <c r="K1834" i="1"/>
  <c r="J1834" i="1"/>
  <c r="I1834" i="1"/>
  <c r="H1834" i="1"/>
  <c r="G1834" i="1"/>
  <c r="K1832" i="1"/>
  <c r="J1832" i="1"/>
  <c r="I1832" i="1"/>
  <c r="H1832" i="1"/>
  <c r="G1832" i="1"/>
  <c r="K1830" i="1"/>
  <c r="J1830" i="1"/>
  <c r="I1830" i="1"/>
  <c r="H1830" i="1"/>
  <c r="G1830" i="1"/>
  <c r="K1828" i="1"/>
  <c r="J1828" i="1"/>
  <c r="I1828" i="1"/>
  <c r="H1828" i="1"/>
  <c r="G1828" i="1"/>
  <c r="K1823" i="1"/>
  <c r="J1823" i="1"/>
  <c r="I1823" i="1"/>
  <c r="H1823" i="1"/>
  <c r="G1823" i="1"/>
  <c r="F1836" i="1"/>
  <c r="F1834" i="1"/>
  <c r="F1832" i="1"/>
  <c r="F1830" i="1"/>
  <c r="F1828" i="1"/>
  <c r="F1823" i="1"/>
  <c r="E1820" i="1"/>
  <c r="E1821" i="1" s="1"/>
  <c r="E1822" i="1" s="1"/>
  <c r="E1823" i="1" s="1"/>
  <c r="E1824" i="1" s="1"/>
  <c r="E1825" i="1" s="1"/>
  <c r="E1826" i="1" s="1"/>
  <c r="E1827" i="1" s="1"/>
  <c r="E1828" i="1" s="1"/>
  <c r="E1829" i="1" s="1"/>
  <c r="E1755" i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H2228" i="1" l="1"/>
  <c r="J2267" i="1"/>
  <c r="F2248" i="1"/>
  <c r="F2228" i="1" s="1"/>
  <c r="F2267" i="1"/>
  <c r="K2267" i="1"/>
  <c r="G2228" i="1"/>
  <c r="J2248" i="1"/>
  <c r="J2228" i="1" s="1"/>
  <c r="I2267" i="1"/>
  <c r="G2267" i="1"/>
  <c r="I2228" i="1"/>
  <c r="I1858" i="1"/>
  <c r="F1858" i="1"/>
  <c r="F1886" i="1"/>
  <c r="G1973" i="1"/>
  <c r="H1881" i="1"/>
  <c r="I1881" i="1"/>
  <c r="I2017" i="1"/>
  <c r="J2019" i="1"/>
  <c r="J2017" i="1"/>
  <c r="F2017" i="1"/>
  <c r="F2019" i="1"/>
  <c r="G2017" i="1"/>
  <c r="G2019" i="1"/>
  <c r="H2017" i="1"/>
  <c r="H2019" i="1"/>
  <c r="I2019" i="1"/>
  <c r="K2025" i="1"/>
  <c r="K2022" i="1"/>
  <c r="K2017" i="1" s="1"/>
  <c r="K2019" i="1"/>
  <c r="F1881" i="1"/>
  <c r="K1886" i="1"/>
  <c r="K1881" i="1"/>
  <c r="K1880" i="1" s="1"/>
  <c r="H2007" i="1"/>
  <c r="J2007" i="1"/>
  <c r="I2007" i="1"/>
  <c r="K2007" i="1"/>
  <c r="G2007" i="1"/>
  <c r="F2007" i="1"/>
  <c r="K1997" i="1"/>
  <c r="J1997" i="1"/>
  <c r="I1997" i="1"/>
  <c r="H1997" i="1"/>
  <c r="G1997" i="1"/>
  <c r="F1997" i="1"/>
  <c r="F1973" i="1"/>
  <c r="I1973" i="1"/>
  <c r="H1973" i="1"/>
  <c r="J1973" i="1"/>
  <c r="K1973" i="1"/>
  <c r="K1949" i="1"/>
  <c r="G1949" i="1"/>
  <c r="H1949" i="1"/>
  <c r="I1949" i="1"/>
  <c r="J1949" i="1"/>
  <c r="F1949" i="1"/>
  <c r="G1898" i="1"/>
  <c r="H1898" i="1"/>
  <c r="I1898" i="1"/>
  <c r="J1898" i="1"/>
  <c r="K1898" i="1"/>
  <c r="F1898" i="1"/>
  <c r="G1886" i="1"/>
  <c r="H1886" i="1"/>
  <c r="I1886" i="1"/>
  <c r="J1886" i="1"/>
  <c r="J1880" i="1" s="1"/>
  <c r="G1881" i="1"/>
  <c r="K1861" i="1"/>
  <c r="K1839" i="1"/>
  <c r="F1864" i="1"/>
  <c r="I1861" i="1"/>
  <c r="G1858" i="1"/>
  <c r="H1858" i="1"/>
  <c r="J1858" i="1"/>
  <c r="K1858" i="1"/>
  <c r="G1864" i="1"/>
  <c r="H1864" i="1"/>
  <c r="I1864" i="1"/>
  <c r="J1864" i="1"/>
  <c r="G1861" i="1"/>
  <c r="H1861" i="1"/>
  <c r="J1861" i="1"/>
  <c r="F1825" i="1"/>
  <c r="I1839" i="1"/>
  <c r="K1844" i="1"/>
  <c r="J1839" i="1"/>
  <c r="F1844" i="1"/>
  <c r="G1844" i="1"/>
  <c r="F1839" i="1"/>
  <c r="F1838" i="1" s="1"/>
  <c r="H1844" i="1"/>
  <c r="G1839" i="1"/>
  <c r="I1844" i="1"/>
  <c r="H1839" i="1"/>
  <c r="J1844" i="1"/>
  <c r="I1825" i="1"/>
  <c r="F1820" i="1"/>
  <c r="K1825" i="1"/>
  <c r="E1830" i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J1825" i="1"/>
  <c r="G1820" i="1"/>
  <c r="H1820" i="1"/>
  <c r="G1825" i="1"/>
  <c r="H1825" i="1"/>
  <c r="J1820" i="1"/>
  <c r="I1820" i="1"/>
  <c r="K1820" i="1"/>
  <c r="F1880" i="1" l="1"/>
  <c r="H1880" i="1"/>
  <c r="F1857" i="1"/>
  <c r="I1857" i="1"/>
  <c r="H1838" i="1"/>
  <c r="K1838" i="1"/>
  <c r="K1857" i="1"/>
  <c r="G1838" i="1"/>
  <c r="I1880" i="1"/>
  <c r="I1838" i="1"/>
  <c r="G1880" i="1"/>
  <c r="G1857" i="1"/>
  <c r="J1857" i="1"/>
  <c r="H1857" i="1"/>
  <c r="F1819" i="1"/>
  <c r="F1818" i="1" s="1"/>
  <c r="J1838" i="1"/>
  <c r="K1819" i="1"/>
  <c r="I1819" i="1"/>
  <c r="J1819" i="1"/>
  <c r="H1819" i="1"/>
  <c r="G1819" i="1"/>
  <c r="K1818" i="1" l="1"/>
  <c r="J1818" i="1"/>
  <c r="H1818" i="1"/>
  <c r="G1818" i="1"/>
  <c r="I1818" i="1"/>
  <c r="G1806" i="1"/>
  <c r="K1806" i="1"/>
  <c r="J1806" i="1"/>
  <c r="I1806" i="1"/>
  <c r="K1805" i="1"/>
  <c r="J1805" i="1"/>
  <c r="I1805" i="1"/>
  <c r="H1805" i="1"/>
  <c r="G1805" i="1"/>
  <c r="F1805" i="1"/>
  <c r="K1796" i="1"/>
  <c r="J1796" i="1"/>
  <c r="I1796" i="1"/>
  <c r="F1796" i="1"/>
  <c r="H1796" i="1"/>
  <c r="G1796" i="1"/>
  <c r="I1781" i="1"/>
  <c r="K1761" i="1"/>
  <c r="F1757" i="1"/>
  <c r="K1757" i="1"/>
  <c r="J1757" i="1"/>
  <c r="I1757" i="1"/>
  <c r="K1755" i="1"/>
  <c r="I1755" i="1"/>
  <c r="H1755" i="1"/>
  <c r="G1755" i="1"/>
  <c r="J1755" i="1"/>
  <c r="F1755" i="1"/>
  <c r="G1810" i="1" l="1"/>
  <c r="H1806" i="1"/>
  <c r="K1798" i="1"/>
  <c r="I1788" i="1"/>
  <c r="J1810" i="1"/>
  <c r="H1757" i="1"/>
  <c r="K1781" i="1"/>
  <c r="J1788" i="1"/>
  <c r="G1788" i="1"/>
  <c r="I1798" i="1"/>
  <c r="H1788" i="1"/>
  <c r="K1810" i="1"/>
  <c r="J1761" i="1"/>
  <c r="J1781" i="1"/>
  <c r="K1788" i="1"/>
  <c r="H1810" i="1"/>
  <c r="F1761" i="1"/>
  <c r="J1798" i="1"/>
  <c r="I1761" i="1"/>
  <c r="H1761" i="1"/>
  <c r="G1798" i="1"/>
  <c r="F1810" i="1"/>
  <c r="G1757" i="1"/>
  <c r="F1788" i="1"/>
  <c r="F1798" i="1"/>
  <c r="F1806" i="1"/>
  <c r="F1765" i="1"/>
  <c r="H1781" i="1"/>
  <c r="H1798" i="1"/>
  <c r="I1810" i="1"/>
  <c r="H1765" i="1"/>
  <c r="I1765" i="1"/>
  <c r="J1765" i="1"/>
  <c r="G1765" i="1"/>
  <c r="K1765" i="1"/>
  <c r="G1761" i="1"/>
  <c r="F1781" i="1"/>
  <c r="G1781" i="1"/>
  <c r="K1753" i="1"/>
  <c r="J1753" i="1"/>
  <c r="I1753" i="1"/>
  <c r="H1753" i="1"/>
  <c r="G1753" i="1"/>
  <c r="K1752" i="1"/>
  <c r="J1752" i="1"/>
  <c r="I1752" i="1"/>
  <c r="H1752" i="1"/>
  <c r="G1752" i="1"/>
  <c r="K1751" i="1"/>
  <c r="J1751" i="1"/>
  <c r="I1751" i="1"/>
  <c r="H1751" i="1"/>
  <c r="G1751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7" i="1"/>
  <c r="J1747" i="1"/>
  <c r="I1747" i="1"/>
  <c r="H1747" i="1"/>
  <c r="G1747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40" i="1"/>
  <c r="J1740" i="1"/>
  <c r="I1740" i="1"/>
  <c r="H1740" i="1"/>
  <c r="G1740" i="1"/>
  <c r="K1739" i="1"/>
  <c r="J1739" i="1"/>
  <c r="I1739" i="1"/>
  <c r="H1739" i="1"/>
  <c r="G1739" i="1"/>
  <c r="K1738" i="1"/>
  <c r="J1738" i="1"/>
  <c r="I1738" i="1"/>
  <c r="H1738" i="1"/>
  <c r="G1738" i="1"/>
  <c r="K1736" i="1"/>
  <c r="J1736" i="1"/>
  <c r="I1736" i="1"/>
  <c r="H1736" i="1"/>
  <c r="G1736" i="1"/>
  <c r="K1734" i="1"/>
  <c r="J1734" i="1"/>
  <c r="I1734" i="1"/>
  <c r="H1734" i="1"/>
  <c r="G1734" i="1"/>
  <c r="I1733" i="1"/>
  <c r="H1733" i="1"/>
  <c r="G1733" i="1"/>
  <c r="K1729" i="1"/>
  <c r="J1729" i="1"/>
  <c r="I1729" i="1"/>
  <c r="H1729" i="1"/>
  <c r="G1729" i="1"/>
  <c r="K1728" i="1"/>
  <c r="J1728" i="1"/>
  <c r="I1728" i="1"/>
  <c r="H1728" i="1"/>
  <c r="G1728" i="1"/>
  <c r="K1727" i="1"/>
  <c r="J1727" i="1"/>
  <c r="I1727" i="1"/>
  <c r="H1727" i="1"/>
  <c r="G1727" i="1"/>
  <c r="K1724" i="1"/>
  <c r="J1724" i="1"/>
  <c r="I1724" i="1"/>
  <c r="H1724" i="1"/>
  <c r="G1724" i="1"/>
  <c r="I1723" i="1"/>
  <c r="H1723" i="1"/>
  <c r="G1723" i="1"/>
  <c r="I1722" i="1"/>
  <c r="H1722" i="1"/>
  <c r="G1722" i="1"/>
  <c r="K1717" i="1"/>
  <c r="J1717" i="1"/>
  <c r="I1717" i="1"/>
  <c r="H1717" i="1"/>
  <c r="G1717" i="1"/>
  <c r="K1716" i="1"/>
  <c r="J1716" i="1"/>
  <c r="I1716" i="1"/>
  <c r="H1716" i="1"/>
  <c r="G1716" i="1"/>
  <c r="K1714" i="1"/>
  <c r="J1714" i="1"/>
  <c r="I1714" i="1"/>
  <c r="H1714" i="1"/>
  <c r="G1714" i="1"/>
  <c r="K1713" i="1"/>
  <c r="J1713" i="1"/>
  <c r="I1713" i="1"/>
  <c r="H1713" i="1"/>
  <c r="G1713" i="1"/>
  <c r="K1712" i="1"/>
  <c r="J1712" i="1"/>
  <c r="I1712" i="1"/>
  <c r="H1712" i="1"/>
  <c r="G1712" i="1"/>
  <c r="K1711" i="1"/>
  <c r="J1711" i="1"/>
  <c r="I1711" i="1"/>
  <c r="H1711" i="1"/>
  <c r="G1711" i="1"/>
  <c r="K1710" i="1"/>
  <c r="J1710" i="1"/>
  <c r="I1710" i="1"/>
  <c r="H1710" i="1"/>
  <c r="G1710" i="1"/>
  <c r="K1707" i="1"/>
  <c r="J1707" i="1"/>
  <c r="I1707" i="1"/>
  <c r="H1707" i="1"/>
  <c r="G1707" i="1"/>
  <c r="F1736" i="1"/>
  <c r="E1738" i="1"/>
  <c r="F1738" i="1"/>
  <c r="E1739" i="1"/>
  <c r="F1739" i="1"/>
  <c r="E1740" i="1"/>
  <c r="F1740" i="1"/>
  <c r="E1741" i="1"/>
  <c r="F1741" i="1"/>
  <c r="E1742" i="1"/>
  <c r="E1743" i="1"/>
  <c r="F1743" i="1"/>
  <c r="E1744" i="1"/>
  <c r="F1744" i="1"/>
  <c r="E1745" i="1"/>
  <c r="F1745" i="1"/>
  <c r="E1746" i="1"/>
  <c r="E1747" i="1"/>
  <c r="F1747" i="1"/>
  <c r="E1748" i="1"/>
  <c r="F1748" i="1"/>
  <c r="E1749" i="1"/>
  <c r="F1749" i="1"/>
  <c r="E1750" i="1"/>
  <c r="F1750" i="1"/>
  <c r="E1751" i="1"/>
  <c r="F1751" i="1"/>
  <c r="E1752" i="1"/>
  <c r="F1752" i="1"/>
  <c r="E1753" i="1"/>
  <c r="F1753" i="1"/>
  <c r="E1737" i="1"/>
  <c r="F1710" i="1"/>
  <c r="F1711" i="1"/>
  <c r="F1712" i="1"/>
  <c r="F1713" i="1"/>
  <c r="F1714" i="1"/>
  <c r="F1716" i="1"/>
  <c r="F1717" i="1"/>
  <c r="F1722" i="1"/>
  <c r="F1723" i="1"/>
  <c r="F1724" i="1"/>
  <c r="F1727" i="1"/>
  <c r="F1728" i="1"/>
  <c r="F1729" i="1"/>
  <c r="F1733" i="1"/>
  <c r="F1734" i="1"/>
  <c r="F1707" i="1"/>
  <c r="E1707" i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J1702" i="1"/>
  <c r="G12" i="4" s="1"/>
  <c r="I1702" i="1"/>
  <c r="F12" i="4" s="1"/>
  <c r="H1702" i="1"/>
  <c r="E12" i="4" s="1"/>
  <c r="F1702" i="1"/>
  <c r="C12" i="4" s="1"/>
  <c r="H1754" i="1" l="1"/>
  <c r="J1754" i="1"/>
  <c r="I1754" i="1"/>
  <c r="G1754" i="1"/>
  <c r="K1754" i="1"/>
  <c r="F1754" i="1"/>
  <c r="G1702" i="1"/>
  <c r="D12" i="4" s="1"/>
  <c r="K1702" i="1"/>
  <c r="H12" i="4" s="1"/>
  <c r="K1705" i="1" l="1"/>
  <c r="J1705" i="1"/>
  <c r="I1705" i="1"/>
  <c r="H1705" i="1"/>
  <c r="G1705" i="1"/>
  <c r="F1705" i="1"/>
  <c r="K1647" i="1"/>
  <c r="H6" i="4"/>
  <c r="G6" i="4"/>
  <c r="F6" i="4"/>
  <c r="E6" i="4"/>
  <c r="D6" i="4"/>
  <c r="C6" i="4"/>
  <c r="K1697" i="1"/>
  <c r="J1697" i="1"/>
  <c r="I1697" i="1"/>
  <c r="H1697" i="1"/>
  <c r="G1697" i="1"/>
  <c r="F1697" i="1"/>
  <c r="E1698" i="1"/>
  <c r="E1699" i="1" s="1"/>
  <c r="E1700" i="1" s="1"/>
  <c r="K1687" i="1"/>
  <c r="J1687" i="1"/>
  <c r="I1687" i="1"/>
  <c r="H1687" i="1"/>
  <c r="G1687" i="1"/>
  <c r="F1687" i="1"/>
  <c r="H1683" i="1"/>
  <c r="J1683" i="1"/>
  <c r="I1683" i="1"/>
  <c r="G1683" i="1"/>
  <c r="K1683" i="1"/>
  <c r="F1683" i="1"/>
  <c r="E1684" i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29" i="1"/>
  <c r="E1630" i="1" s="1"/>
  <c r="E1631" i="1" s="1"/>
  <c r="E1632" i="1" s="1"/>
  <c r="E1633" i="1" s="1"/>
  <c r="E1634" i="1" s="1"/>
  <c r="E1635" i="1" s="1"/>
  <c r="E1636" i="1" s="1"/>
  <c r="E1637" i="1" s="1"/>
  <c r="E1666" i="1"/>
  <c r="G1682" i="1"/>
  <c r="K1680" i="1"/>
  <c r="I1679" i="1"/>
  <c r="G1678" i="1"/>
  <c r="K1676" i="1"/>
  <c r="I1675" i="1"/>
  <c r="G1674" i="1"/>
  <c r="E1670" i="1"/>
  <c r="E1663" i="1"/>
  <c r="J1647" i="1"/>
  <c r="I1647" i="1"/>
  <c r="H1647" i="1"/>
  <c r="G1647" i="1"/>
  <c r="F1647" i="1"/>
  <c r="E1644" i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J1639" i="1"/>
  <c r="H1651" i="1" l="1"/>
  <c r="I1651" i="1"/>
  <c r="G1651" i="1"/>
  <c r="F1651" i="1"/>
  <c r="G1643" i="1"/>
  <c r="F1674" i="1"/>
  <c r="H1675" i="1"/>
  <c r="J1676" i="1"/>
  <c r="F1678" i="1"/>
  <c r="H1679" i="1"/>
  <c r="J1680" i="1"/>
  <c r="F1682" i="1"/>
  <c r="F1673" i="1"/>
  <c r="H1674" i="1"/>
  <c r="J1675" i="1"/>
  <c r="F1677" i="1"/>
  <c r="H1678" i="1"/>
  <c r="J1679" i="1"/>
  <c r="F1681" i="1"/>
  <c r="H1682" i="1"/>
  <c r="G1673" i="1"/>
  <c r="I1674" i="1"/>
  <c r="K1675" i="1"/>
  <c r="G1677" i="1"/>
  <c r="I1678" i="1"/>
  <c r="K1679" i="1"/>
  <c r="G1681" i="1"/>
  <c r="I1682" i="1"/>
  <c r="H1673" i="1"/>
  <c r="J1674" i="1"/>
  <c r="F1676" i="1"/>
  <c r="H1677" i="1"/>
  <c r="J1678" i="1"/>
  <c r="F1680" i="1"/>
  <c r="H1681" i="1"/>
  <c r="J1682" i="1"/>
  <c r="K1643" i="1"/>
  <c r="I1673" i="1"/>
  <c r="K1674" i="1"/>
  <c r="G1676" i="1"/>
  <c r="I1677" i="1"/>
  <c r="K1678" i="1"/>
  <c r="G1680" i="1"/>
  <c r="I1681" i="1"/>
  <c r="K1682" i="1"/>
  <c r="J1673" i="1"/>
  <c r="F1675" i="1"/>
  <c r="H1676" i="1"/>
  <c r="J1677" i="1"/>
  <c r="F1679" i="1"/>
  <c r="H1680" i="1"/>
  <c r="J1681" i="1"/>
  <c r="K1673" i="1"/>
  <c r="G1675" i="1"/>
  <c r="I1676" i="1"/>
  <c r="K1677" i="1"/>
  <c r="G1679" i="1"/>
  <c r="I1680" i="1"/>
  <c r="K1681" i="1"/>
  <c r="F1643" i="1"/>
  <c r="F1639" i="1"/>
  <c r="G1639" i="1"/>
  <c r="H1639" i="1"/>
  <c r="J1643" i="1"/>
  <c r="H1643" i="1"/>
  <c r="I1639" i="1"/>
  <c r="K1639" i="1"/>
  <c r="I1643" i="1"/>
  <c r="G1653" i="1"/>
  <c r="H1653" i="1"/>
  <c r="I1653" i="1"/>
  <c r="J1653" i="1"/>
  <c r="K1653" i="1"/>
  <c r="F1653" i="1"/>
  <c r="I1657" i="1" l="1"/>
  <c r="H1657" i="1"/>
  <c r="G1657" i="1"/>
  <c r="F1657" i="1"/>
  <c r="J1638" i="1"/>
  <c r="I1638" i="1"/>
  <c r="F1638" i="1"/>
  <c r="K1638" i="1"/>
  <c r="H1638" i="1"/>
  <c r="G1638" i="1"/>
  <c r="E1640" i="1" l="1"/>
  <c r="E1641" i="1" s="1"/>
  <c r="E1642" i="1" s="1"/>
  <c r="K1612" i="1"/>
  <c r="J1612" i="1"/>
  <c r="I1612" i="1"/>
  <c r="H1612" i="1"/>
  <c r="G1612" i="1"/>
  <c r="F1612" i="1"/>
  <c r="K1595" i="1"/>
  <c r="J1595" i="1"/>
  <c r="I1595" i="1"/>
  <c r="H1595" i="1"/>
  <c r="G1595" i="1"/>
  <c r="F1595" i="1"/>
  <c r="E1592" i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545" i="1"/>
  <c r="E1546" i="1" s="1"/>
  <c r="E1547" i="1" s="1"/>
  <c r="E1548" i="1" s="1"/>
  <c r="K1565" i="1"/>
  <c r="J1565" i="1"/>
  <c r="I1565" i="1"/>
  <c r="H1565" i="1"/>
  <c r="G1565" i="1"/>
  <c r="F1565" i="1"/>
  <c r="K1548" i="1"/>
  <c r="J1548" i="1"/>
  <c r="I1548" i="1"/>
  <c r="F1548" i="1"/>
  <c r="I1569" i="1" l="1"/>
  <c r="G1569" i="1"/>
  <c r="G1616" i="1"/>
  <c r="H1569" i="1"/>
  <c r="F1616" i="1"/>
  <c r="H1616" i="1"/>
  <c r="I1616" i="1"/>
  <c r="F1569" i="1"/>
  <c r="K1597" i="1"/>
  <c r="K1588" i="1"/>
  <c r="I1571" i="1"/>
  <c r="K1590" i="1"/>
  <c r="J1582" i="1"/>
  <c r="F1584" i="1"/>
  <c r="H1585" i="1"/>
  <c r="J1586" i="1"/>
  <c r="F1588" i="1"/>
  <c r="H1589" i="1"/>
  <c r="J1590" i="1"/>
  <c r="H1545" i="1"/>
  <c r="G1592" i="1"/>
  <c r="I1604" i="1"/>
  <c r="I1629" i="1"/>
  <c r="G1550" i="1"/>
  <c r="K1634" i="1"/>
  <c r="F1590" i="1"/>
  <c r="K1633" i="1"/>
  <c r="G1590" i="1"/>
  <c r="K1550" i="1"/>
  <c r="H1571" i="1"/>
  <c r="H1590" i="1"/>
  <c r="J1597" i="1"/>
  <c r="J1631" i="1"/>
  <c r="I1582" i="1"/>
  <c r="K1583" i="1"/>
  <c r="G1585" i="1"/>
  <c r="I1586" i="1"/>
  <c r="K1587" i="1"/>
  <c r="G1589" i="1"/>
  <c r="J1633" i="1"/>
  <c r="K1582" i="1"/>
  <c r="G1584" i="1"/>
  <c r="I1585" i="1"/>
  <c r="K1586" i="1"/>
  <c r="G1588" i="1"/>
  <c r="I1589" i="1"/>
  <c r="J1571" i="1"/>
  <c r="J1630" i="1"/>
  <c r="F1583" i="1"/>
  <c r="H1584" i="1"/>
  <c r="J1585" i="1"/>
  <c r="F1587" i="1"/>
  <c r="H1588" i="1"/>
  <c r="J1589" i="1"/>
  <c r="K1571" i="1"/>
  <c r="G1583" i="1"/>
  <c r="I1584" i="1"/>
  <c r="K1585" i="1"/>
  <c r="G1587" i="1"/>
  <c r="I1588" i="1"/>
  <c r="K1589" i="1"/>
  <c r="J1592" i="1"/>
  <c r="J1545" i="1"/>
  <c r="F1582" i="1"/>
  <c r="H1583" i="1"/>
  <c r="J1584" i="1"/>
  <c r="F1586" i="1"/>
  <c r="H1587" i="1"/>
  <c r="J1588" i="1"/>
  <c r="G1582" i="1"/>
  <c r="I1583" i="1"/>
  <c r="K1584" i="1"/>
  <c r="G1586" i="1"/>
  <c r="I1587" i="1"/>
  <c r="F1571" i="1"/>
  <c r="F1604" i="1"/>
  <c r="H1635" i="1"/>
  <c r="G1630" i="1"/>
  <c r="H1632" i="1"/>
  <c r="I1634" i="1"/>
  <c r="I1635" i="1"/>
  <c r="J1637" i="1"/>
  <c r="H1582" i="1"/>
  <c r="J1583" i="1"/>
  <c r="F1585" i="1"/>
  <c r="H1586" i="1"/>
  <c r="J1587" i="1"/>
  <c r="F1589" i="1"/>
  <c r="I1590" i="1"/>
  <c r="G1571" i="1"/>
  <c r="F1592" i="1"/>
  <c r="H1604" i="1"/>
  <c r="K1635" i="1"/>
  <c r="J1632" i="1"/>
  <c r="F1637" i="1"/>
  <c r="H1592" i="1"/>
  <c r="F1597" i="1"/>
  <c r="K1631" i="1"/>
  <c r="F1635" i="1"/>
  <c r="G1637" i="1"/>
  <c r="I1592" i="1"/>
  <c r="G1597" i="1"/>
  <c r="K1604" i="1"/>
  <c r="K1630" i="1"/>
  <c r="G1635" i="1"/>
  <c r="H1597" i="1"/>
  <c r="F1631" i="1"/>
  <c r="F1632" i="1"/>
  <c r="K1592" i="1"/>
  <c r="F1630" i="1"/>
  <c r="G1631" i="1"/>
  <c r="I1636" i="1"/>
  <c r="G1604" i="1"/>
  <c r="I1632" i="1"/>
  <c r="K1632" i="1"/>
  <c r="G1629" i="1"/>
  <c r="G1618" i="1"/>
  <c r="I1630" i="1"/>
  <c r="I1631" i="1"/>
  <c r="J1634" i="1"/>
  <c r="K1636" i="1"/>
  <c r="F1636" i="1"/>
  <c r="K1629" i="1"/>
  <c r="K1618" i="1"/>
  <c r="F1633" i="1"/>
  <c r="F1634" i="1"/>
  <c r="G1636" i="1"/>
  <c r="H1637" i="1"/>
  <c r="G1633" i="1"/>
  <c r="G1634" i="1"/>
  <c r="J1604" i="1"/>
  <c r="F1629" i="1"/>
  <c r="F1618" i="1"/>
  <c r="G1632" i="1"/>
  <c r="H1633" i="1"/>
  <c r="H1634" i="1"/>
  <c r="H1636" i="1"/>
  <c r="I1637" i="1"/>
  <c r="J1629" i="1"/>
  <c r="J1618" i="1"/>
  <c r="I1597" i="1"/>
  <c r="H1629" i="1"/>
  <c r="H1618" i="1"/>
  <c r="H1630" i="1"/>
  <c r="H1631" i="1"/>
  <c r="I1633" i="1"/>
  <c r="J1635" i="1"/>
  <c r="J1636" i="1"/>
  <c r="K1637" i="1"/>
  <c r="I1618" i="1"/>
  <c r="I1550" i="1"/>
  <c r="F1550" i="1"/>
  <c r="K1545" i="1"/>
  <c r="H1550" i="1"/>
  <c r="J1550" i="1"/>
  <c r="F1545" i="1"/>
  <c r="G1545" i="1"/>
  <c r="I1557" i="1"/>
  <c r="J1557" i="1"/>
  <c r="I1545" i="1"/>
  <c r="K1557" i="1"/>
  <c r="F1557" i="1"/>
  <c r="G1557" i="1"/>
  <c r="H1548" i="1"/>
  <c r="H1557" i="1"/>
  <c r="G1548" i="1"/>
  <c r="E1549" i="1"/>
  <c r="H1601" i="1" l="1"/>
  <c r="G1601" i="1"/>
  <c r="G1554" i="1"/>
  <c r="G1561" i="1"/>
  <c r="H1561" i="1"/>
  <c r="F1608" i="1"/>
  <c r="F1561" i="1"/>
  <c r="H1554" i="1"/>
  <c r="F1601" i="1"/>
  <c r="F1554" i="1"/>
  <c r="H1608" i="1"/>
  <c r="I1608" i="1"/>
  <c r="I1601" i="1"/>
  <c r="I1561" i="1"/>
  <c r="G1608" i="1"/>
  <c r="I1554" i="1"/>
  <c r="F1591" i="1"/>
  <c r="H1591" i="1"/>
  <c r="I1591" i="1"/>
  <c r="G1591" i="1"/>
  <c r="K1591" i="1"/>
  <c r="J1591" i="1"/>
  <c r="I1544" i="1"/>
  <c r="H1544" i="1"/>
  <c r="G1544" i="1"/>
  <c r="E1550" i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F1544" i="1"/>
  <c r="K1544" i="1"/>
  <c r="J1544" i="1"/>
  <c r="E1517" i="1" l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G1516" i="1" l="1"/>
  <c r="I1516" i="1"/>
  <c r="F1516" i="1"/>
  <c r="J1516" i="1"/>
  <c r="H1516" i="1"/>
  <c r="K1516" i="1"/>
  <c r="K1539" i="1" l="1"/>
  <c r="J1539" i="1"/>
  <c r="I1539" i="1"/>
  <c r="H1539" i="1"/>
  <c r="G1539" i="1"/>
  <c r="F1539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K1541" i="1"/>
  <c r="J1541" i="1"/>
  <c r="I1541" i="1"/>
  <c r="H1541" i="1"/>
  <c r="G1541" i="1"/>
  <c r="F1541" i="1"/>
  <c r="K1540" i="1"/>
  <c r="J1540" i="1"/>
  <c r="I1540" i="1"/>
  <c r="H1540" i="1"/>
  <c r="G1540" i="1"/>
  <c r="F1540" i="1"/>
  <c r="G1535" i="1"/>
  <c r="H1535" i="1"/>
  <c r="I1535" i="1"/>
  <c r="J1535" i="1"/>
  <c r="K1535" i="1"/>
  <c r="G1536" i="1"/>
  <c r="H1536" i="1"/>
  <c r="I1536" i="1"/>
  <c r="J1536" i="1"/>
  <c r="K1536" i="1"/>
  <c r="G1537" i="1"/>
  <c r="H1537" i="1"/>
  <c r="I1537" i="1"/>
  <c r="J1537" i="1"/>
  <c r="K1537" i="1"/>
  <c r="G1538" i="1"/>
  <c r="H1538" i="1"/>
  <c r="I1538" i="1"/>
  <c r="J1538" i="1"/>
  <c r="K1538" i="1"/>
  <c r="F1538" i="1"/>
  <c r="F1537" i="1"/>
  <c r="F1536" i="1"/>
  <c r="F1535" i="1"/>
  <c r="K1534" i="1"/>
  <c r="J1534" i="1"/>
  <c r="I1534" i="1"/>
  <c r="H1534" i="1"/>
  <c r="G1534" i="1"/>
  <c r="K1533" i="1"/>
  <c r="J1533" i="1"/>
  <c r="I1533" i="1"/>
  <c r="H1533" i="1"/>
  <c r="G1533" i="1"/>
  <c r="K1532" i="1"/>
  <c r="J1532" i="1"/>
  <c r="I1532" i="1"/>
  <c r="H1532" i="1"/>
  <c r="G1532" i="1"/>
  <c r="K1531" i="1"/>
  <c r="J1531" i="1"/>
  <c r="I1531" i="1"/>
  <c r="H1531" i="1"/>
  <c r="G1531" i="1"/>
  <c r="F1534" i="1"/>
  <c r="F1533" i="1"/>
  <c r="F1532" i="1"/>
  <c r="F1531" i="1"/>
  <c r="E1496" i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12" i="1" s="1"/>
  <c r="E1513" i="1" s="1"/>
  <c r="E1514" i="1" s="1"/>
  <c r="E1515" i="1" s="1"/>
  <c r="E1494" i="1"/>
  <c r="K1491" i="1"/>
  <c r="J1491" i="1"/>
  <c r="I1491" i="1"/>
  <c r="H1491" i="1"/>
  <c r="G1491" i="1"/>
  <c r="F1491" i="1"/>
  <c r="F1489" i="1"/>
  <c r="F1488" i="1" s="1"/>
  <c r="E1487" i="1"/>
  <c r="K1484" i="1"/>
  <c r="J1484" i="1"/>
  <c r="I1484" i="1"/>
  <c r="H1484" i="1"/>
  <c r="G1484" i="1"/>
  <c r="F1484" i="1"/>
  <c r="K1489" i="1"/>
  <c r="K1488" i="1" s="1"/>
  <c r="J1489" i="1"/>
  <c r="J1488" i="1" s="1"/>
  <c r="I1489" i="1"/>
  <c r="I1488" i="1" s="1"/>
  <c r="H1489" i="1"/>
  <c r="H1488" i="1" s="1"/>
  <c r="G1489" i="1"/>
  <c r="G1488" i="1" s="1"/>
  <c r="K1482" i="1"/>
  <c r="K1481" i="1" s="1"/>
  <c r="J1482" i="1"/>
  <c r="J1481" i="1" s="1"/>
  <c r="I1482" i="1"/>
  <c r="I1481" i="1" s="1"/>
  <c r="H1482" i="1"/>
  <c r="H1481" i="1" s="1"/>
  <c r="G1482" i="1"/>
  <c r="G1481" i="1" s="1"/>
  <c r="F1482" i="1"/>
  <c r="F1481" i="1" s="1"/>
  <c r="E1434" i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K1496" i="1" l="1"/>
  <c r="I1496" i="1"/>
  <c r="K1501" i="1"/>
  <c r="G1496" i="1"/>
  <c r="F1501" i="1"/>
  <c r="J1501" i="1"/>
  <c r="I1501" i="1"/>
  <c r="H1501" i="1"/>
  <c r="J1496" i="1"/>
  <c r="G1501" i="1"/>
  <c r="F1506" i="1"/>
  <c r="G1506" i="1"/>
  <c r="H1506" i="1"/>
  <c r="I1506" i="1"/>
  <c r="J1506" i="1"/>
  <c r="K1506" i="1"/>
  <c r="E1507" i="1"/>
  <c r="E1508" i="1" s="1"/>
  <c r="E1509" i="1" s="1"/>
  <c r="E1510" i="1" s="1"/>
  <c r="F1496" i="1"/>
  <c r="H1496" i="1"/>
  <c r="I1487" i="1"/>
  <c r="H1494" i="1"/>
  <c r="E1511" i="1"/>
  <c r="J1487" i="1"/>
  <c r="I1494" i="1"/>
  <c r="K1487" i="1"/>
  <c r="J1494" i="1"/>
  <c r="K1494" i="1"/>
  <c r="F1487" i="1"/>
  <c r="G1487" i="1"/>
  <c r="F1494" i="1"/>
  <c r="H1487" i="1"/>
  <c r="G1494" i="1"/>
  <c r="F1469" i="1"/>
  <c r="K1475" i="1"/>
  <c r="G1479" i="1"/>
  <c r="H1479" i="1"/>
  <c r="I1469" i="1"/>
  <c r="H1460" i="1"/>
  <c r="J1473" i="1"/>
  <c r="G1467" i="1"/>
  <c r="F1461" i="1"/>
  <c r="H1464" i="1"/>
  <c r="K1467" i="1"/>
  <c r="G1478" i="1"/>
  <c r="G1475" i="1"/>
  <c r="F1462" i="1"/>
  <c r="G1462" i="1"/>
  <c r="J1469" i="1"/>
  <c r="K1459" i="1"/>
  <c r="I1466" i="1"/>
  <c r="H1423" i="1"/>
  <c r="I1473" i="1"/>
  <c r="F1473" i="1"/>
  <c r="H1472" i="1"/>
  <c r="H1477" i="1"/>
  <c r="H1468" i="1"/>
  <c r="I1464" i="1"/>
  <c r="J1466" i="1"/>
  <c r="H1478" i="1"/>
  <c r="F1460" i="1"/>
  <c r="J1464" i="1"/>
  <c r="K1466" i="1"/>
  <c r="G1469" i="1"/>
  <c r="F1476" i="1"/>
  <c r="I1478" i="1"/>
  <c r="I1423" i="1"/>
  <c r="G1460" i="1"/>
  <c r="F1467" i="1"/>
  <c r="G1476" i="1"/>
  <c r="G1398" i="1"/>
  <c r="H1462" i="1"/>
  <c r="H1469" i="1"/>
  <c r="J1471" i="1"/>
  <c r="K1473" i="1"/>
  <c r="H1476" i="1"/>
  <c r="K1478" i="1"/>
  <c r="I1462" i="1"/>
  <c r="I1476" i="1"/>
  <c r="K1423" i="1"/>
  <c r="I1460" i="1"/>
  <c r="J1462" i="1"/>
  <c r="J1476" i="1"/>
  <c r="J1460" i="1"/>
  <c r="H1467" i="1"/>
  <c r="K1460" i="1"/>
  <c r="F1463" i="1"/>
  <c r="I1467" i="1"/>
  <c r="G1472" i="1"/>
  <c r="J1467" i="1"/>
  <c r="I1474" i="1"/>
  <c r="I1479" i="1"/>
  <c r="G1471" i="1"/>
  <c r="G1461" i="1"/>
  <c r="F1468" i="1"/>
  <c r="G1470" i="1"/>
  <c r="J1479" i="1"/>
  <c r="F1475" i="1"/>
  <c r="K1479" i="1"/>
  <c r="G1480" i="1"/>
  <c r="H1473" i="1"/>
  <c r="K1470" i="1"/>
  <c r="K1477" i="1"/>
  <c r="J1480" i="1"/>
  <c r="F1478" i="1"/>
  <c r="K1480" i="1"/>
  <c r="G1458" i="1"/>
  <c r="K1471" i="1"/>
  <c r="F1479" i="1"/>
  <c r="F1465" i="1"/>
  <c r="K1462" i="1"/>
  <c r="G1465" i="1"/>
  <c r="F1472" i="1"/>
  <c r="G1474" i="1"/>
  <c r="K1476" i="1"/>
  <c r="I1471" i="1"/>
  <c r="F1458" i="1"/>
  <c r="F1433" i="1"/>
  <c r="H1433" i="1"/>
  <c r="F1404" i="1"/>
  <c r="I1433" i="1"/>
  <c r="I1458" i="1"/>
  <c r="H1465" i="1"/>
  <c r="K1469" i="1"/>
  <c r="H1474" i="1"/>
  <c r="F1477" i="1"/>
  <c r="J1478" i="1"/>
  <c r="G1404" i="1"/>
  <c r="J1433" i="1"/>
  <c r="J1458" i="1"/>
  <c r="G1463" i="1"/>
  <c r="F1470" i="1"/>
  <c r="G1477" i="1"/>
  <c r="H1398" i="1"/>
  <c r="H1458" i="1"/>
  <c r="K1474" i="1"/>
  <c r="J1398" i="1"/>
  <c r="K1464" i="1"/>
  <c r="I1465" i="1"/>
  <c r="I1463" i="1"/>
  <c r="J1472" i="1"/>
  <c r="K1404" i="1"/>
  <c r="G1409" i="1"/>
  <c r="H1461" i="1"/>
  <c r="J1463" i="1"/>
  <c r="K1465" i="1"/>
  <c r="H1470" i="1"/>
  <c r="F1480" i="1"/>
  <c r="F1474" i="1"/>
  <c r="H1404" i="1"/>
  <c r="H1463" i="1"/>
  <c r="K1433" i="1"/>
  <c r="K1458" i="1"/>
  <c r="I1472" i="1"/>
  <c r="I1404" i="1"/>
  <c r="J1423" i="1"/>
  <c r="J1404" i="1"/>
  <c r="J1465" i="1"/>
  <c r="G1459" i="1"/>
  <c r="F1466" i="1"/>
  <c r="I1470" i="1"/>
  <c r="I1477" i="1"/>
  <c r="H1471" i="1"/>
  <c r="K1398" i="1"/>
  <c r="F1459" i="1"/>
  <c r="G1468" i="1"/>
  <c r="K1472" i="1"/>
  <c r="H1409" i="1"/>
  <c r="I1409" i="1"/>
  <c r="I1461" i="1"/>
  <c r="K1463" i="1"/>
  <c r="I1468" i="1"/>
  <c r="J1470" i="1"/>
  <c r="H1480" i="1"/>
  <c r="J1409" i="1"/>
  <c r="H1459" i="1"/>
  <c r="F1464" i="1"/>
  <c r="G1466" i="1"/>
  <c r="J1468" i="1"/>
  <c r="G1473" i="1"/>
  <c r="H1475" i="1"/>
  <c r="J1477" i="1"/>
  <c r="I1480" i="1"/>
  <c r="I1398" i="1"/>
  <c r="K1409" i="1"/>
  <c r="F1423" i="1"/>
  <c r="I1459" i="1"/>
  <c r="J1461" i="1"/>
  <c r="G1464" i="1"/>
  <c r="K1468" i="1"/>
  <c r="F1471" i="1"/>
  <c r="I1475" i="1"/>
  <c r="J1474" i="1"/>
  <c r="F1409" i="1"/>
  <c r="F1398" i="1"/>
  <c r="G1423" i="1"/>
  <c r="J1459" i="1"/>
  <c r="K1461" i="1"/>
  <c r="H1466" i="1"/>
  <c r="J1475" i="1"/>
  <c r="G1433" i="1"/>
  <c r="I1510" i="1" l="1"/>
  <c r="G1427" i="1"/>
  <c r="H1510" i="1"/>
  <c r="G1510" i="1"/>
  <c r="H1427" i="1"/>
  <c r="F1510" i="1"/>
  <c r="F1413" i="1"/>
  <c r="I1427" i="1"/>
  <c r="F1427" i="1"/>
  <c r="I1413" i="1"/>
  <c r="H1413" i="1"/>
  <c r="G1413" i="1"/>
  <c r="K1495" i="1"/>
  <c r="I1495" i="1"/>
  <c r="J1495" i="1"/>
  <c r="H1495" i="1"/>
  <c r="F1495" i="1"/>
  <c r="G1495" i="1"/>
  <c r="G1397" i="1"/>
  <c r="H1397" i="1"/>
  <c r="F1397" i="1"/>
  <c r="J1397" i="1"/>
  <c r="I1397" i="1"/>
  <c r="K1397" i="1"/>
  <c r="E1350" i="1" l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K1320" i="1" l="1"/>
  <c r="J1386" i="1"/>
  <c r="H1393" i="1"/>
  <c r="J1396" i="1"/>
  <c r="G1380" i="1"/>
  <c r="I1383" i="1"/>
  <c r="K1386" i="1"/>
  <c r="I1393" i="1"/>
  <c r="K1396" i="1"/>
  <c r="H1380" i="1"/>
  <c r="J1383" i="1"/>
  <c r="J1393" i="1"/>
  <c r="I1380" i="1"/>
  <c r="K1383" i="1"/>
  <c r="I1390" i="1"/>
  <c r="K1393" i="1"/>
  <c r="J1380" i="1"/>
  <c r="H1387" i="1"/>
  <c r="J1390" i="1"/>
  <c r="F1394" i="1"/>
  <c r="K1380" i="1"/>
  <c r="I1387" i="1"/>
  <c r="K1390" i="1"/>
  <c r="G1394" i="1"/>
  <c r="F1381" i="1"/>
  <c r="J1387" i="1"/>
  <c r="F1391" i="1"/>
  <c r="H1394" i="1"/>
  <c r="G1381" i="1"/>
  <c r="I1384" i="1"/>
  <c r="K1387" i="1"/>
  <c r="I1394" i="1"/>
  <c r="J1349" i="1"/>
  <c r="H1381" i="1"/>
  <c r="J1384" i="1"/>
  <c r="J1394" i="1"/>
  <c r="I1381" i="1"/>
  <c r="K1384" i="1"/>
  <c r="I1391" i="1"/>
  <c r="K1394" i="1"/>
  <c r="J1381" i="1"/>
  <c r="F1385" i="1"/>
  <c r="J1391" i="1"/>
  <c r="F1395" i="1"/>
  <c r="K1381" i="1"/>
  <c r="I1388" i="1"/>
  <c r="K1391" i="1"/>
  <c r="G1395" i="1"/>
  <c r="J1388" i="1"/>
  <c r="H1395" i="1"/>
  <c r="I1385" i="1"/>
  <c r="K1388" i="1"/>
  <c r="G1392" i="1"/>
  <c r="I1395" i="1"/>
  <c r="F1379" i="1"/>
  <c r="H1382" i="1"/>
  <c r="J1385" i="1"/>
  <c r="H1392" i="1"/>
  <c r="J1395" i="1"/>
  <c r="G1379" i="1"/>
  <c r="I1382" i="1"/>
  <c r="K1385" i="1"/>
  <c r="G1389" i="1"/>
  <c r="I1392" i="1"/>
  <c r="K1395" i="1"/>
  <c r="H1379" i="1"/>
  <c r="J1382" i="1"/>
  <c r="J1392" i="1"/>
  <c r="I1379" i="1"/>
  <c r="K1382" i="1"/>
  <c r="I1389" i="1"/>
  <c r="K1392" i="1"/>
  <c r="G1396" i="1"/>
  <c r="J1379" i="1"/>
  <c r="J1389" i="1"/>
  <c r="H1396" i="1"/>
  <c r="K1379" i="1"/>
  <c r="G1383" i="1"/>
  <c r="I1386" i="1"/>
  <c r="K1389" i="1"/>
  <c r="G1393" i="1"/>
  <c r="I1396" i="1"/>
  <c r="H1390" i="1"/>
  <c r="H1383" i="1"/>
  <c r="H1384" i="1"/>
  <c r="H1391" i="1"/>
  <c r="H1388" i="1"/>
  <c r="H1385" i="1"/>
  <c r="H1389" i="1"/>
  <c r="H1386" i="1"/>
  <c r="G1390" i="1"/>
  <c r="G1387" i="1"/>
  <c r="G1384" i="1"/>
  <c r="G1391" i="1"/>
  <c r="G1388" i="1"/>
  <c r="G1385" i="1"/>
  <c r="G1382" i="1"/>
  <c r="G1320" i="1"/>
  <c r="G1386" i="1"/>
  <c r="F1383" i="1"/>
  <c r="F1393" i="1"/>
  <c r="F1380" i="1"/>
  <c r="F1390" i="1"/>
  <c r="F1387" i="1"/>
  <c r="F1384" i="1"/>
  <c r="F1388" i="1"/>
  <c r="F1382" i="1"/>
  <c r="F1392" i="1"/>
  <c r="F1389" i="1"/>
  <c r="F1386" i="1"/>
  <c r="F1396" i="1"/>
  <c r="K1349" i="1"/>
  <c r="F1349" i="1"/>
  <c r="G1349" i="1"/>
  <c r="H1349" i="1"/>
  <c r="I1349" i="1"/>
  <c r="F1320" i="1"/>
  <c r="J1320" i="1"/>
  <c r="H1320" i="1"/>
  <c r="I1320" i="1"/>
  <c r="K1339" i="1"/>
  <c r="G1339" i="1"/>
  <c r="H1339" i="1"/>
  <c r="F1339" i="1"/>
  <c r="I1339" i="1"/>
  <c r="J1339" i="1"/>
  <c r="K1325" i="1"/>
  <c r="F1325" i="1"/>
  <c r="J1325" i="1"/>
  <c r="I1325" i="1"/>
  <c r="H1325" i="1"/>
  <c r="G1325" i="1"/>
  <c r="F1329" i="1" l="1"/>
  <c r="I1329" i="1"/>
  <c r="G1329" i="1"/>
  <c r="H1329" i="1"/>
  <c r="I1343" i="1"/>
  <c r="F1343" i="1"/>
  <c r="H1343" i="1"/>
  <c r="G1343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K1376" i="1"/>
  <c r="J1376" i="1"/>
  <c r="I1376" i="1"/>
  <c r="H1376" i="1"/>
  <c r="G1376" i="1"/>
  <c r="F1376" i="1"/>
  <c r="K1375" i="1"/>
  <c r="J1375" i="1"/>
  <c r="I1375" i="1"/>
  <c r="H1375" i="1"/>
  <c r="G1375" i="1"/>
  <c r="F1375" i="1"/>
  <c r="F1314" i="1" l="1"/>
  <c r="F1313" i="1" s="1"/>
  <c r="F1374" i="1"/>
  <c r="G1314" i="1"/>
  <c r="G1313" i="1" s="1"/>
  <c r="G1374" i="1"/>
  <c r="H1314" i="1"/>
  <c r="H1313" i="1" s="1"/>
  <c r="H1374" i="1"/>
  <c r="I1314" i="1"/>
  <c r="I1313" i="1" s="1"/>
  <c r="I1374" i="1"/>
  <c r="J1314" i="1"/>
  <c r="J1313" i="1" s="1"/>
  <c r="J1374" i="1"/>
  <c r="K1314" i="1"/>
  <c r="K1313" i="1" s="1"/>
  <c r="K1374" i="1"/>
  <c r="E1263" i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212" i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F1211" i="1" l="1"/>
  <c r="G1211" i="1"/>
  <c r="H1211" i="1"/>
  <c r="I1211" i="1"/>
  <c r="J1211" i="1"/>
  <c r="K1211" i="1"/>
  <c r="K1297" i="1" l="1"/>
  <c r="J1297" i="1"/>
  <c r="I1297" i="1"/>
  <c r="H1297" i="1"/>
  <c r="G1297" i="1"/>
  <c r="F1297" i="1"/>
  <c r="F1312" i="1"/>
  <c r="F1311" i="1"/>
  <c r="F1310" i="1"/>
  <c r="F1309" i="1"/>
  <c r="F1308" i="1"/>
  <c r="E1179" i="1"/>
  <c r="E1180" i="1" s="1"/>
  <c r="E1181" i="1" s="1"/>
  <c r="E1182" i="1" s="1"/>
  <c r="E1156" i="1"/>
  <c r="E1157" i="1" s="1"/>
  <c r="E1158" i="1" s="1"/>
  <c r="E1159" i="1" s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K1308" i="1"/>
  <c r="J1308" i="1"/>
  <c r="I1308" i="1"/>
  <c r="H1308" i="1"/>
  <c r="G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9" i="1"/>
  <c r="J1299" i="1"/>
  <c r="I1299" i="1"/>
  <c r="H1299" i="1"/>
  <c r="G1299" i="1"/>
  <c r="F1299" i="1"/>
  <c r="K1298" i="1"/>
  <c r="J1298" i="1"/>
  <c r="I1298" i="1"/>
  <c r="H1298" i="1"/>
  <c r="G1298" i="1"/>
  <c r="F1298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87" i="1"/>
  <c r="J1287" i="1"/>
  <c r="I1287" i="1"/>
  <c r="H1287" i="1"/>
  <c r="G1287" i="1"/>
  <c r="F1287" i="1"/>
  <c r="K1286" i="1"/>
  <c r="J1286" i="1"/>
  <c r="I1286" i="1"/>
  <c r="H1286" i="1"/>
  <c r="G1286" i="1"/>
  <c r="F1286" i="1"/>
  <c r="K1269" i="1" l="1"/>
  <c r="J1270" i="1"/>
  <c r="F1275" i="1"/>
  <c r="J1269" i="1"/>
  <c r="K1270" i="1"/>
  <c r="G1275" i="1"/>
  <c r="F1271" i="1"/>
  <c r="F1272" i="1"/>
  <c r="H1275" i="1"/>
  <c r="G1271" i="1"/>
  <c r="G1272" i="1"/>
  <c r="I1275" i="1"/>
  <c r="F1268" i="1"/>
  <c r="H1271" i="1"/>
  <c r="H1272" i="1"/>
  <c r="J1275" i="1"/>
  <c r="G1268" i="1"/>
  <c r="I1271" i="1"/>
  <c r="I1272" i="1"/>
  <c r="K1275" i="1"/>
  <c r="H1268" i="1"/>
  <c r="J1271" i="1"/>
  <c r="J1272" i="1"/>
  <c r="I1268" i="1"/>
  <c r="K1271" i="1"/>
  <c r="K1272" i="1"/>
  <c r="J1268" i="1"/>
  <c r="F1273" i="1"/>
  <c r="K1268" i="1"/>
  <c r="G1273" i="1"/>
  <c r="F1269" i="1"/>
  <c r="H1273" i="1"/>
  <c r="G1269" i="1"/>
  <c r="I1273" i="1"/>
  <c r="H1269" i="1"/>
  <c r="J1273" i="1"/>
  <c r="I1269" i="1"/>
  <c r="K1273" i="1"/>
  <c r="F1274" i="1"/>
  <c r="G1274" i="1"/>
  <c r="F1270" i="1"/>
  <c r="H1274" i="1"/>
  <c r="G1270" i="1"/>
  <c r="I1274" i="1"/>
  <c r="H1270" i="1"/>
  <c r="J1274" i="1"/>
  <c r="I1270" i="1"/>
  <c r="K1274" i="1"/>
  <c r="K1201" i="1"/>
  <c r="K1178" i="1"/>
  <c r="H1201" i="1"/>
  <c r="J1201" i="1"/>
  <c r="F1178" i="1"/>
  <c r="H1178" i="1"/>
  <c r="J1178" i="1"/>
  <c r="F1201" i="1"/>
  <c r="I1178" i="1"/>
  <c r="G1201" i="1"/>
  <c r="G1178" i="1"/>
  <c r="I1201" i="1"/>
  <c r="G1205" i="1" l="1"/>
  <c r="H1182" i="1"/>
  <c r="I1182" i="1"/>
  <c r="F1205" i="1"/>
  <c r="F1182" i="1"/>
  <c r="I1205" i="1"/>
  <c r="G1182" i="1"/>
  <c r="H1205" i="1"/>
  <c r="J1312" i="1"/>
  <c r="K1312" i="1"/>
  <c r="G1312" i="1"/>
  <c r="I1312" i="1"/>
  <c r="H1312" i="1"/>
  <c r="K1285" i="1" l="1"/>
  <c r="J1285" i="1"/>
  <c r="I1285" i="1"/>
  <c r="H1285" i="1"/>
  <c r="G1285" i="1"/>
  <c r="F1285" i="1"/>
  <c r="K1284" i="1"/>
  <c r="J1284" i="1"/>
  <c r="I1284" i="1"/>
  <c r="H1284" i="1"/>
  <c r="G1284" i="1"/>
  <c r="F1284" i="1"/>
  <c r="K1283" i="1"/>
  <c r="J1283" i="1"/>
  <c r="I1283" i="1"/>
  <c r="H1283" i="1"/>
  <c r="G1283" i="1"/>
  <c r="F1283" i="1"/>
  <c r="F1282" i="1"/>
  <c r="G1282" i="1"/>
  <c r="H1282" i="1"/>
  <c r="I1282" i="1"/>
  <c r="J1282" i="1"/>
  <c r="K1282" i="1"/>
  <c r="K1281" i="1"/>
  <c r="J1281" i="1"/>
  <c r="I1281" i="1"/>
  <c r="H1281" i="1"/>
  <c r="G1281" i="1"/>
  <c r="F1281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J1155" i="1" l="1"/>
  <c r="G1155" i="1"/>
  <c r="H1155" i="1"/>
  <c r="F1155" i="1"/>
  <c r="I1155" i="1"/>
  <c r="K1155" i="1"/>
  <c r="K1278" i="1"/>
  <c r="J1278" i="1"/>
  <c r="I1278" i="1"/>
  <c r="H1278" i="1"/>
  <c r="G1278" i="1"/>
  <c r="F1278" i="1"/>
  <c r="K1277" i="1"/>
  <c r="J1277" i="1"/>
  <c r="I1277" i="1"/>
  <c r="H1277" i="1"/>
  <c r="G1277" i="1"/>
  <c r="F1277" i="1"/>
  <c r="K1276" i="1"/>
  <c r="J1276" i="1"/>
  <c r="I1276" i="1"/>
  <c r="H1276" i="1"/>
  <c r="G1276" i="1"/>
  <c r="F1276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K1265" i="1"/>
  <c r="J1265" i="1"/>
  <c r="I1265" i="1"/>
  <c r="H1265" i="1"/>
  <c r="G1265" i="1"/>
  <c r="F1265" i="1"/>
  <c r="K1264" i="1"/>
  <c r="J1264" i="1"/>
  <c r="I1264" i="1"/>
  <c r="H1264" i="1"/>
  <c r="G1264" i="1"/>
  <c r="F1264" i="1"/>
  <c r="J1263" i="1"/>
  <c r="I1263" i="1"/>
  <c r="H1263" i="1"/>
  <c r="G1263" i="1"/>
  <c r="F1263" i="1"/>
  <c r="I1159" i="1" l="1"/>
  <c r="F1159" i="1"/>
  <c r="G1159" i="1"/>
  <c r="H1159" i="1"/>
  <c r="K1135" i="1"/>
  <c r="K1263" i="1"/>
  <c r="J1135" i="1"/>
  <c r="F1135" i="1"/>
  <c r="I1135" i="1"/>
  <c r="G1135" i="1"/>
  <c r="H1135" i="1"/>
  <c r="K1150" i="1"/>
  <c r="H1150" i="1"/>
  <c r="J1150" i="1"/>
  <c r="G1150" i="1"/>
  <c r="I1150" i="1"/>
  <c r="F1150" i="1"/>
  <c r="G1129" i="1"/>
  <c r="G1128" i="1"/>
  <c r="G1127" i="1"/>
  <c r="G1126" i="1"/>
  <c r="K1134" i="1" l="1"/>
  <c r="H7" i="4" s="1"/>
  <c r="F1134" i="1"/>
  <c r="C7" i="4" s="1"/>
  <c r="H1134" i="1"/>
  <c r="E7" i="4" s="1"/>
  <c r="G1134" i="1"/>
  <c r="D7" i="4" s="1"/>
  <c r="I1134" i="1"/>
  <c r="F7" i="4" s="1"/>
  <c r="J1134" i="1"/>
  <c r="G7" i="4" s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K1073" i="1"/>
  <c r="J1073" i="1"/>
  <c r="I1073" i="1"/>
  <c r="H1073" i="1"/>
  <c r="G1073" i="1"/>
  <c r="F1073" i="1"/>
  <c r="G1071" i="1"/>
  <c r="H1071" i="1"/>
  <c r="I1071" i="1"/>
  <c r="J1071" i="1"/>
  <c r="K1071" i="1"/>
  <c r="F1071" i="1"/>
  <c r="K1063" i="1"/>
  <c r="J1063" i="1"/>
  <c r="I1063" i="1"/>
  <c r="H1063" i="1"/>
  <c r="G1063" i="1"/>
  <c r="F1063" i="1"/>
  <c r="J1058" i="1"/>
  <c r="H1058" i="1"/>
  <c r="G1058" i="1"/>
  <c r="F1058" i="1"/>
  <c r="K451" i="1"/>
  <c r="J451" i="1"/>
  <c r="I451" i="1"/>
  <c r="H451" i="1"/>
  <c r="G451" i="1"/>
  <c r="F451" i="1"/>
  <c r="K221" i="1"/>
  <c r="J221" i="1"/>
  <c r="I221" i="1"/>
  <c r="H221" i="1"/>
  <c r="G221" i="1"/>
  <c r="F221" i="1"/>
  <c r="C213" i="1"/>
  <c r="B213" i="1"/>
  <c r="C211" i="1"/>
  <c r="B211" i="1"/>
  <c r="C189" i="1"/>
  <c r="B189" i="1"/>
  <c r="E1034" i="1"/>
  <c r="E1035" i="1" s="1"/>
  <c r="K1038" i="1"/>
  <c r="J1038" i="1"/>
  <c r="I1038" i="1"/>
  <c r="H1038" i="1"/>
  <c r="G1038" i="1"/>
  <c r="F1038" i="1"/>
  <c r="K1036" i="1"/>
  <c r="J1036" i="1"/>
  <c r="I1036" i="1"/>
  <c r="H1036" i="1"/>
  <c r="G1036" i="1"/>
  <c r="F1036" i="1"/>
  <c r="K1029" i="1"/>
  <c r="J1029" i="1"/>
  <c r="I1029" i="1"/>
  <c r="H1029" i="1"/>
  <c r="G1029" i="1"/>
  <c r="F1029" i="1"/>
  <c r="K1024" i="1"/>
  <c r="J1024" i="1"/>
  <c r="I1024" i="1"/>
  <c r="H1024" i="1"/>
  <c r="G1024" i="1"/>
  <c r="F1024" i="1"/>
  <c r="G1026" i="1"/>
  <c r="H1026" i="1"/>
  <c r="I1026" i="1"/>
  <c r="J1026" i="1"/>
  <c r="K1026" i="1"/>
  <c r="F1026" i="1"/>
  <c r="K1021" i="1"/>
  <c r="J1021" i="1"/>
  <c r="I1021" i="1"/>
  <c r="H1021" i="1"/>
  <c r="G1021" i="1"/>
  <c r="F1021" i="1"/>
  <c r="F1118" i="1" l="1"/>
  <c r="K1118" i="1"/>
  <c r="J1118" i="1"/>
  <c r="I1118" i="1"/>
  <c r="H1118" i="1"/>
  <c r="G1118" i="1"/>
  <c r="F1120" i="1"/>
  <c r="I1084" i="1"/>
  <c r="G1120" i="1"/>
  <c r="H1120" i="1"/>
  <c r="K1084" i="1"/>
  <c r="I1120" i="1"/>
  <c r="J1120" i="1"/>
  <c r="K1120" i="1"/>
  <c r="I1070" i="1"/>
  <c r="I1096" i="1" s="1"/>
  <c r="H1101" i="1"/>
  <c r="J1101" i="1"/>
  <c r="F1086" i="1"/>
  <c r="G1086" i="1"/>
  <c r="H1086" i="1"/>
  <c r="I1086" i="1"/>
  <c r="F1101" i="1"/>
  <c r="J1086" i="1"/>
  <c r="I1101" i="1"/>
  <c r="K1086" i="1"/>
  <c r="G1101" i="1"/>
  <c r="K1101" i="1"/>
  <c r="K1058" i="1"/>
  <c r="I1058" i="1"/>
  <c r="H1060" i="1"/>
  <c r="I1060" i="1"/>
  <c r="F1060" i="1"/>
  <c r="K1070" i="1"/>
  <c r="K1096" i="1" s="1"/>
  <c r="J1070" i="1"/>
  <c r="J1096" i="1" s="1"/>
  <c r="G1070" i="1"/>
  <c r="G1096" i="1" s="1"/>
  <c r="G1060" i="1"/>
  <c r="H1070" i="1"/>
  <c r="H1096" i="1" s="1"/>
  <c r="J1060" i="1"/>
  <c r="K1060" i="1"/>
  <c r="F1070" i="1"/>
  <c r="F1096" i="1" s="1"/>
  <c r="I1035" i="1"/>
  <c r="G1035" i="1"/>
  <c r="K1035" i="1"/>
  <c r="F1035" i="1"/>
  <c r="H1035" i="1"/>
  <c r="J1035" i="1"/>
  <c r="F1023" i="1"/>
  <c r="F1020" i="1" s="1"/>
  <c r="G1023" i="1"/>
  <c r="G1020" i="1" s="1"/>
  <c r="H1023" i="1"/>
  <c r="H1020" i="1" s="1"/>
  <c r="I1023" i="1"/>
  <c r="I1020" i="1" s="1"/>
  <c r="J1023" i="1"/>
  <c r="J1020" i="1" s="1"/>
  <c r="K1023" i="1"/>
  <c r="K1020" i="1" s="1"/>
  <c r="F1091" i="1" l="1"/>
  <c r="G1091" i="1"/>
  <c r="I1091" i="1"/>
  <c r="H1091" i="1"/>
  <c r="J1091" i="1"/>
  <c r="K1091" i="1"/>
  <c r="G1084" i="1"/>
  <c r="G1097" i="1"/>
  <c r="G1130" i="1"/>
  <c r="K1097" i="1"/>
  <c r="K1130" i="1"/>
  <c r="J1099" i="1"/>
  <c r="J1131" i="1"/>
  <c r="I1099" i="1"/>
  <c r="I1131" i="1"/>
  <c r="F1099" i="1"/>
  <c r="F1131" i="1"/>
  <c r="J1084" i="1"/>
  <c r="I1103" i="1"/>
  <c r="I1133" i="1"/>
  <c r="F1103" i="1"/>
  <c r="F1133" i="1"/>
  <c r="F1084" i="1"/>
  <c r="K1103" i="1"/>
  <c r="K1133" i="1"/>
  <c r="G1099" i="1"/>
  <c r="G1131" i="1"/>
  <c r="H1103" i="1"/>
  <c r="H1133" i="1"/>
  <c r="J1103" i="1"/>
  <c r="J1133" i="1"/>
  <c r="F1097" i="1"/>
  <c r="F1130" i="1"/>
  <c r="H1099" i="1"/>
  <c r="H1131" i="1"/>
  <c r="G1103" i="1"/>
  <c r="G1133" i="1"/>
  <c r="J1097" i="1"/>
  <c r="J1130" i="1"/>
  <c r="I1097" i="1"/>
  <c r="I1130" i="1"/>
  <c r="H1097" i="1"/>
  <c r="H1130" i="1"/>
  <c r="K1099" i="1"/>
  <c r="K1131" i="1"/>
  <c r="H1084" i="1"/>
  <c r="K1014" i="1" l="1"/>
  <c r="K1015" i="1" s="1"/>
  <c r="K1112" i="1" s="1"/>
  <c r="J1014" i="1"/>
  <c r="J1015" i="1" s="1"/>
  <c r="J1112" i="1" s="1"/>
  <c r="I1014" i="1"/>
  <c r="I1015" i="1" s="1"/>
  <c r="I1112" i="1" s="1"/>
  <c r="H1014" i="1"/>
  <c r="H1015" i="1" s="1"/>
  <c r="H1112" i="1" s="1"/>
  <c r="G1014" i="1"/>
  <c r="G1015" i="1" s="1"/>
  <c r="G1112" i="1" s="1"/>
  <c r="F1014" i="1"/>
  <c r="F1015" i="1" s="1"/>
  <c r="F1112" i="1" s="1"/>
  <c r="G1019" i="1" l="1"/>
  <c r="G1018" i="1" s="1"/>
  <c r="G1117" i="1"/>
  <c r="H1019" i="1"/>
  <c r="H1018" i="1" s="1"/>
  <c r="H1117" i="1"/>
  <c r="I1019" i="1"/>
  <c r="I1018" i="1" s="1"/>
  <c r="I1117" i="1"/>
  <c r="J1019" i="1"/>
  <c r="J1018" i="1" s="1"/>
  <c r="J1117" i="1"/>
  <c r="K1019" i="1"/>
  <c r="K1018" i="1" s="1"/>
  <c r="K1117" i="1"/>
  <c r="F1019" i="1"/>
  <c r="F1018" i="1" s="1"/>
  <c r="F1117" i="1"/>
  <c r="K1034" i="1" l="1"/>
  <c r="J1034" i="1"/>
  <c r="J1031" i="1"/>
  <c r="J1032" i="1" s="1"/>
  <c r="I1031" i="1"/>
  <c r="I1032" i="1" s="1"/>
  <c r="H1031" i="1"/>
  <c r="H1032" i="1" s="1"/>
  <c r="F1031" i="1"/>
  <c r="F1032" i="1" s="1"/>
  <c r="G1031" i="1" l="1"/>
  <c r="G1032" i="1" s="1"/>
  <c r="K1031" i="1"/>
  <c r="K1032" i="1" s="1"/>
  <c r="H1034" i="1" l="1"/>
  <c r="I1034" i="1"/>
  <c r="F1034" i="1"/>
  <c r="G1034" i="1"/>
  <c r="G1055" i="1" l="1"/>
  <c r="J1055" i="1"/>
  <c r="K1055" i="1"/>
  <c r="F1055" i="1"/>
  <c r="H1055" i="1"/>
  <c r="I1055" i="1"/>
  <c r="H1081" i="1" l="1"/>
  <c r="F1081" i="1"/>
  <c r="J1081" i="1"/>
  <c r="G1081" i="1"/>
  <c r="K1081" i="1"/>
  <c r="I1081" i="1"/>
  <c r="K1110" i="1" l="1"/>
  <c r="J1110" i="1"/>
  <c r="I1110" i="1"/>
  <c r="H1110" i="1"/>
  <c r="G1110" i="1"/>
  <c r="F1110" i="1"/>
  <c r="G1109" i="1"/>
  <c r="H1109" i="1"/>
  <c r="I1109" i="1"/>
  <c r="J1109" i="1"/>
  <c r="K1109" i="1"/>
  <c r="G1123" i="1"/>
  <c r="H1123" i="1"/>
  <c r="I1123" i="1"/>
  <c r="J1123" i="1"/>
  <c r="K1123" i="1"/>
  <c r="F1109" i="1"/>
  <c r="K1121" i="1"/>
  <c r="J1121" i="1"/>
  <c r="I1121" i="1"/>
  <c r="H1121" i="1"/>
  <c r="G1121" i="1"/>
  <c r="K1108" i="1"/>
  <c r="J1108" i="1"/>
  <c r="I1108" i="1"/>
  <c r="H1108" i="1"/>
  <c r="G1108" i="1"/>
  <c r="K1107" i="1"/>
  <c r="J1107" i="1"/>
  <c r="I1107" i="1"/>
  <c r="H1107" i="1"/>
  <c r="G1107" i="1"/>
  <c r="F1121" i="1"/>
  <c r="F1108" i="1"/>
  <c r="F1107" i="1"/>
  <c r="K992" i="1" l="1"/>
  <c r="J992" i="1"/>
  <c r="F1122" i="1"/>
  <c r="F1111" i="1"/>
  <c r="G1111" i="1"/>
  <c r="G1122" i="1"/>
  <c r="H1111" i="1"/>
  <c r="H1122" i="1"/>
  <c r="I1111" i="1"/>
  <c r="I1122" i="1"/>
  <c r="J1111" i="1"/>
  <c r="J1122" i="1"/>
  <c r="K1111" i="1"/>
  <c r="K1122" i="1"/>
  <c r="F1125" i="1"/>
  <c r="G1125" i="1"/>
  <c r="H1125" i="1"/>
  <c r="I1125" i="1"/>
  <c r="J1125" i="1"/>
  <c r="F988" i="1"/>
  <c r="F1123" i="1"/>
  <c r="K1125" i="1"/>
  <c r="G995" i="1"/>
  <c r="F995" i="1"/>
  <c r="H995" i="1"/>
  <c r="K995" i="1"/>
  <c r="G992" i="1"/>
  <c r="G1012" i="1" s="1"/>
  <c r="G1009" i="1" s="1"/>
  <c r="H992" i="1"/>
  <c r="H1005" i="1" s="1"/>
  <c r="H1124" i="1" s="1"/>
  <c r="I992" i="1"/>
  <c r="I1003" i="1" s="1"/>
  <c r="I1000" i="1" s="1"/>
  <c r="I995" i="1"/>
  <c r="J995" i="1"/>
  <c r="F992" i="1"/>
  <c r="F1005" i="1" s="1"/>
  <c r="F1124" i="1" s="1"/>
  <c r="I975" i="1"/>
  <c r="F990" i="1"/>
  <c r="F991" i="1" s="1"/>
  <c r="J990" i="1"/>
  <c r="J991" i="1" s="1"/>
  <c r="J988" i="1"/>
  <c r="K990" i="1"/>
  <c r="K991" i="1" s="1"/>
  <c r="K988" i="1"/>
  <c r="I990" i="1"/>
  <c r="I991" i="1" s="1"/>
  <c r="I988" i="1"/>
  <c r="H990" i="1"/>
  <c r="H991" i="1" s="1"/>
  <c r="H988" i="1"/>
  <c r="G990" i="1"/>
  <c r="G991" i="1" s="1"/>
  <c r="G988" i="1"/>
  <c r="K985" i="1"/>
  <c r="K984" i="1" s="1"/>
  <c r="J985" i="1"/>
  <c r="J984" i="1" s="1"/>
  <c r="I985" i="1"/>
  <c r="I984" i="1" s="1"/>
  <c r="H985" i="1"/>
  <c r="H984" i="1" s="1"/>
  <c r="G985" i="1"/>
  <c r="G984" i="1" s="1"/>
  <c r="F985" i="1"/>
  <c r="F987" i="1" s="1"/>
  <c r="F986" i="1" s="1"/>
  <c r="K972" i="1"/>
  <c r="H975" i="1"/>
  <c r="J975" i="1"/>
  <c r="K975" i="1"/>
  <c r="G975" i="1"/>
  <c r="H972" i="1"/>
  <c r="I972" i="1"/>
  <c r="G972" i="1"/>
  <c r="J972" i="1"/>
  <c r="F975" i="1"/>
  <c r="F972" i="1"/>
  <c r="K1003" i="1" l="1"/>
  <c r="K1000" i="1" s="1"/>
  <c r="K1005" i="1"/>
  <c r="J1012" i="1"/>
  <c r="J1009" i="1" s="1"/>
  <c r="J1005" i="1"/>
  <c r="J1002" i="1"/>
  <c r="J999" i="1" s="1"/>
  <c r="K1012" i="1"/>
  <c r="K1009" i="1" s="1"/>
  <c r="J1003" i="1"/>
  <c r="J1000" i="1" s="1"/>
  <c r="G1005" i="1"/>
  <c r="G1124" i="1" s="1"/>
  <c r="K1002" i="1"/>
  <c r="I1002" i="1"/>
  <c r="I999" i="1" s="1"/>
  <c r="I998" i="1" s="1"/>
  <c r="J1050" i="1"/>
  <c r="J1047" i="1" s="1"/>
  <c r="J1048" i="1" s="1"/>
  <c r="G1050" i="1"/>
  <c r="G1047" i="1" s="1"/>
  <c r="G1048" i="1" s="1"/>
  <c r="H1050" i="1"/>
  <c r="H1047" i="1" s="1"/>
  <c r="H1048" i="1" s="1"/>
  <c r="I1050" i="1"/>
  <c r="I1047" i="1" s="1"/>
  <c r="I1048" i="1" s="1"/>
  <c r="I1005" i="1"/>
  <c r="I1124" i="1" s="1"/>
  <c r="K1050" i="1"/>
  <c r="K1047" i="1" s="1"/>
  <c r="K1048" i="1" s="1"/>
  <c r="F1050" i="1"/>
  <c r="F1047" i="1" s="1"/>
  <c r="F1048" i="1" s="1"/>
  <c r="G1002" i="1"/>
  <c r="G999" i="1" s="1"/>
  <c r="H1002" i="1"/>
  <c r="H999" i="1" s="1"/>
  <c r="H1003" i="1"/>
  <c r="H1000" i="1" s="1"/>
  <c r="G1003" i="1"/>
  <c r="G1000" i="1" s="1"/>
  <c r="F1003" i="1"/>
  <c r="F1000" i="1" s="1"/>
  <c r="I1012" i="1"/>
  <c r="I1009" i="1" s="1"/>
  <c r="H1011" i="1"/>
  <c r="H1008" i="1" s="1"/>
  <c r="F1002" i="1"/>
  <c r="F999" i="1" s="1"/>
  <c r="F1012" i="1"/>
  <c r="F1009" i="1" s="1"/>
  <c r="H1012" i="1"/>
  <c r="H1004" i="1"/>
  <c r="F1011" i="1"/>
  <c r="F1008" i="1" s="1"/>
  <c r="F1004" i="1"/>
  <c r="G987" i="1"/>
  <c r="G986" i="1" s="1"/>
  <c r="G982" i="1" s="1"/>
  <c r="J987" i="1"/>
  <c r="J986" i="1" s="1"/>
  <c r="J982" i="1" s="1"/>
  <c r="H987" i="1"/>
  <c r="H986" i="1" s="1"/>
  <c r="H982" i="1" s="1"/>
  <c r="K987" i="1"/>
  <c r="K986" i="1" s="1"/>
  <c r="K982" i="1" s="1"/>
  <c r="I987" i="1"/>
  <c r="I986" i="1" s="1"/>
  <c r="I982" i="1" s="1"/>
  <c r="F984" i="1"/>
  <c r="F982" i="1" s="1"/>
  <c r="K1124" i="1" l="1"/>
  <c r="K1004" i="1"/>
  <c r="K1011" i="1"/>
  <c r="K1008" i="1" s="1"/>
  <c r="K1007" i="1" s="1"/>
  <c r="J1124" i="1"/>
  <c r="J1004" i="1"/>
  <c r="J1011" i="1"/>
  <c r="K1001" i="1"/>
  <c r="K999" i="1"/>
  <c r="K998" i="1" s="1"/>
  <c r="I1001" i="1"/>
  <c r="J998" i="1"/>
  <c r="K1010" i="1"/>
  <c r="G1004" i="1"/>
  <c r="G1011" i="1"/>
  <c r="G1010" i="1" s="1"/>
  <c r="J1001" i="1"/>
  <c r="I1004" i="1"/>
  <c r="I1011" i="1"/>
  <c r="I1010" i="1" s="1"/>
  <c r="F998" i="1"/>
  <c r="G998" i="1"/>
  <c r="F1007" i="1"/>
  <c r="H998" i="1"/>
  <c r="H1001" i="1"/>
  <c r="G1001" i="1"/>
  <c r="H1010" i="1"/>
  <c r="H1009" i="1"/>
  <c r="H1007" i="1" s="1"/>
  <c r="F1001" i="1"/>
  <c r="F1010" i="1"/>
  <c r="J1008" i="1" l="1"/>
  <c r="J1007" i="1" s="1"/>
  <c r="J1010" i="1"/>
  <c r="G1008" i="1"/>
  <c r="G1007" i="1" s="1"/>
  <c r="I1008" i="1"/>
  <c r="I1007" i="1" s="1"/>
  <c r="K945" i="1"/>
  <c r="J945" i="1"/>
  <c r="I945" i="1"/>
  <c r="H967" i="1"/>
  <c r="G945" i="1"/>
  <c r="F945" i="1"/>
  <c r="K943" i="1"/>
  <c r="J943" i="1"/>
  <c r="I943" i="1"/>
  <c r="H943" i="1"/>
  <c r="G943" i="1"/>
  <c r="F943" i="1"/>
  <c r="K929" i="1"/>
  <c r="J929" i="1"/>
  <c r="I929" i="1"/>
  <c r="H929" i="1"/>
  <c r="G929" i="1"/>
  <c r="F929" i="1"/>
  <c r="H925" i="1"/>
  <c r="G925" i="1"/>
  <c r="F925" i="1"/>
  <c r="G913" i="1"/>
  <c r="H913" i="1"/>
  <c r="I913" i="1"/>
  <c r="J913" i="1"/>
  <c r="K913" i="1"/>
  <c r="F913" i="1"/>
  <c r="G911" i="1"/>
  <c r="G966" i="1" s="1"/>
  <c r="H911" i="1"/>
  <c r="I911" i="1"/>
  <c r="I966" i="1" s="1"/>
  <c r="J911" i="1"/>
  <c r="J966" i="1" s="1"/>
  <c r="K911" i="1"/>
  <c r="K966" i="1" s="1"/>
  <c r="F911" i="1"/>
  <c r="F966" i="1" s="1"/>
  <c r="J954" i="1"/>
  <c r="H954" i="1"/>
  <c r="F954" i="1"/>
  <c r="K803" i="1"/>
  <c r="J803" i="1"/>
  <c r="I803" i="1"/>
  <c r="H803" i="1"/>
  <c r="G803" i="1"/>
  <c r="F803" i="1"/>
  <c r="F801" i="1"/>
  <c r="G801" i="1"/>
  <c r="H801" i="1"/>
  <c r="I801" i="1"/>
  <c r="J801" i="1"/>
  <c r="K801" i="1"/>
  <c r="C708" i="1"/>
  <c r="B708" i="1"/>
  <c r="E710" i="1"/>
  <c r="C710" i="1"/>
  <c r="B710" i="1"/>
  <c r="H966" i="1" l="1"/>
  <c r="K925" i="1"/>
  <c r="H945" i="1"/>
  <c r="F957" i="1"/>
  <c r="G954" i="1"/>
  <c r="F947" i="1"/>
  <c r="G947" i="1"/>
  <c r="I954" i="1"/>
  <c r="H947" i="1"/>
  <c r="I947" i="1"/>
  <c r="I953" i="1"/>
  <c r="K954" i="1"/>
  <c r="G958" i="1"/>
  <c r="J947" i="1"/>
  <c r="J953" i="1"/>
  <c r="H958" i="1"/>
  <c r="K947" i="1"/>
  <c r="F967" i="1"/>
  <c r="I958" i="1"/>
  <c r="F949" i="1"/>
  <c r="K967" i="1"/>
  <c r="G949" i="1"/>
  <c r="J967" i="1"/>
  <c r="K958" i="1"/>
  <c r="H949" i="1"/>
  <c r="I967" i="1"/>
  <c r="I949" i="1"/>
  <c r="J949" i="1"/>
  <c r="G967" i="1"/>
  <c r="K949" i="1"/>
  <c r="H953" i="1"/>
  <c r="G953" i="1"/>
  <c r="F958" i="1"/>
  <c r="J958" i="1"/>
  <c r="F953" i="1"/>
  <c r="K953" i="1"/>
  <c r="I925" i="1"/>
  <c r="J931" i="1"/>
  <c r="F935" i="1"/>
  <c r="F931" i="1"/>
  <c r="H935" i="1"/>
  <c r="G931" i="1"/>
  <c r="J935" i="1"/>
  <c r="J925" i="1"/>
  <c r="K935" i="1"/>
  <c r="G935" i="1"/>
  <c r="I931" i="1"/>
  <c r="I935" i="1"/>
  <c r="K931" i="1"/>
  <c r="H931" i="1"/>
  <c r="F898" i="1"/>
  <c r="K710" i="1"/>
  <c r="J710" i="1"/>
  <c r="I710" i="1"/>
  <c r="H710" i="1"/>
  <c r="G710" i="1"/>
  <c r="F710" i="1"/>
  <c r="G708" i="1"/>
  <c r="H708" i="1"/>
  <c r="I708" i="1"/>
  <c r="J708" i="1"/>
  <c r="K708" i="1"/>
  <c r="F708" i="1"/>
  <c r="H711" i="1" l="1"/>
  <c r="F711" i="1"/>
  <c r="I711" i="1"/>
  <c r="J711" i="1"/>
  <c r="K711" i="1"/>
  <c r="G711" i="1"/>
  <c r="K737" i="1"/>
  <c r="J737" i="1"/>
  <c r="I737" i="1"/>
  <c r="H737" i="1"/>
  <c r="G737" i="1"/>
  <c r="F737" i="1"/>
  <c r="K721" i="1"/>
  <c r="J721" i="1"/>
  <c r="I721" i="1"/>
  <c r="H721" i="1"/>
  <c r="G721" i="1"/>
  <c r="F721" i="1"/>
  <c r="C713" i="1"/>
  <c r="C715" i="1" s="1"/>
  <c r="B713" i="1"/>
  <c r="B715" i="1" s="1"/>
  <c r="C712" i="1"/>
  <c r="C714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7" i="1" s="1"/>
  <c r="C738" i="1" s="1"/>
  <c r="C739" i="1" s="1"/>
  <c r="C740" i="1" s="1"/>
  <c r="C741" i="1" s="1"/>
  <c r="C742" i="1" s="1"/>
  <c r="B712" i="1"/>
  <c r="B714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7" i="1" s="1"/>
  <c r="B738" i="1" s="1"/>
  <c r="B739" i="1" s="1"/>
  <c r="B740" i="1" s="1"/>
  <c r="B741" i="1" s="1"/>
  <c r="B742" i="1" s="1"/>
  <c r="K713" i="1"/>
  <c r="J713" i="1"/>
  <c r="C697" i="1"/>
  <c r="C698" i="1" s="1"/>
  <c r="C699" i="1" s="1"/>
  <c r="C700" i="1" s="1"/>
  <c r="C701" i="1" s="1"/>
  <c r="C702" i="1" s="1"/>
  <c r="B697" i="1"/>
  <c r="B698" i="1" s="1"/>
  <c r="B699" i="1" s="1"/>
  <c r="B700" i="1" s="1"/>
  <c r="B701" i="1" s="1"/>
  <c r="B702" i="1" s="1"/>
  <c r="K682" i="1"/>
  <c r="J682" i="1"/>
  <c r="I682" i="1"/>
  <c r="H682" i="1"/>
  <c r="G682" i="1"/>
  <c r="F682" i="1"/>
  <c r="C678" i="1"/>
  <c r="C679" i="1" s="1"/>
  <c r="C681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B678" i="1"/>
  <c r="B679" i="1" s="1"/>
  <c r="B681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C661" i="1"/>
  <c r="C662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B661" i="1"/>
  <c r="B662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F713" i="1" l="1"/>
  <c r="G713" i="1"/>
  <c r="H713" i="1"/>
  <c r="I713" i="1"/>
  <c r="I730" i="1"/>
  <c r="B743" i="1"/>
  <c r="B744" i="1" s="1"/>
  <c r="B745" i="1" s="1"/>
  <c r="C743" i="1"/>
  <c r="C744" i="1" s="1"/>
  <c r="C745" i="1" s="1"/>
  <c r="F731" i="1"/>
  <c r="J699" i="1"/>
  <c r="J730" i="1"/>
  <c r="H684" i="1"/>
  <c r="F730" i="1"/>
  <c r="K715" i="1"/>
  <c r="K712" i="1" s="1"/>
  <c r="J728" i="1"/>
  <c r="I715" i="1"/>
  <c r="G730" i="1"/>
  <c r="H715" i="1"/>
  <c r="K730" i="1"/>
  <c r="B734" i="1"/>
  <c r="B735" i="1" s="1"/>
  <c r="B736" i="1" s="1"/>
  <c r="C734" i="1"/>
  <c r="C735" i="1" s="1"/>
  <c r="C736" i="1" s="1"/>
  <c r="G731" i="1"/>
  <c r="H730" i="1"/>
  <c r="H731" i="1"/>
  <c r="I731" i="1"/>
  <c r="J731" i="1"/>
  <c r="F715" i="1"/>
  <c r="K731" i="1"/>
  <c r="G715" i="1"/>
  <c r="F728" i="1"/>
  <c r="G728" i="1"/>
  <c r="H728" i="1"/>
  <c r="J715" i="1"/>
  <c r="J712" i="1" s="1"/>
  <c r="I728" i="1"/>
  <c r="K728" i="1"/>
  <c r="K699" i="1"/>
  <c r="H699" i="1"/>
  <c r="I698" i="1"/>
  <c r="G699" i="1"/>
  <c r="I684" i="1"/>
  <c r="J697" i="1"/>
  <c r="I699" i="1"/>
  <c r="G697" i="1"/>
  <c r="I697" i="1"/>
  <c r="H698" i="1"/>
  <c r="J678" i="1"/>
  <c r="F698" i="1"/>
  <c r="G698" i="1"/>
  <c r="J698" i="1"/>
  <c r="G693" i="1"/>
  <c r="F697" i="1"/>
  <c r="F699" i="1"/>
  <c r="K697" i="1"/>
  <c r="K698" i="1"/>
  <c r="G684" i="1"/>
  <c r="H697" i="1"/>
  <c r="C703" i="1"/>
  <c r="B703" i="1"/>
  <c r="F678" i="1"/>
  <c r="J693" i="1"/>
  <c r="I693" i="1"/>
  <c r="K684" i="1"/>
  <c r="F693" i="1"/>
  <c r="B680" i="1"/>
  <c r="H693" i="1"/>
  <c r="G678" i="1"/>
  <c r="K693" i="1"/>
  <c r="F684" i="1"/>
  <c r="K678" i="1"/>
  <c r="H678" i="1"/>
  <c r="I678" i="1"/>
  <c r="J684" i="1"/>
  <c r="C680" i="1"/>
  <c r="B663" i="1"/>
  <c r="C663" i="1"/>
  <c r="C682" i="1"/>
  <c r="C683" i="1" s="1"/>
  <c r="B682" i="1"/>
  <c r="B683" i="1" s="1"/>
  <c r="F712" i="1" l="1"/>
  <c r="G712" i="1"/>
  <c r="H712" i="1"/>
  <c r="I712" i="1"/>
  <c r="H739" i="1"/>
  <c r="H733" i="1" s="1"/>
  <c r="H750" i="1" s="1"/>
  <c r="F739" i="1"/>
  <c r="F733" i="1" s="1"/>
  <c r="F732" i="1" s="1"/>
  <c r="I739" i="1"/>
  <c r="I733" i="1" s="1"/>
  <c r="I745" i="1" s="1"/>
  <c r="J739" i="1"/>
  <c r="J733" i="1" s="1"/>
  <c r="F729" i="1"/>
  <c r="C746" i="1"/>
  <c r="C747" i="1" s="1"/>
  <c r="C748" i="1" s="1"/>
  <c r="C749" i="1"/>
  <c r="C750" i="1" s="1"/>
  <c r="C751" i="1" s="1"/>
  <c r="F723" i="1"/>
  <c r="F720" i="1" s="1"/>
  <c r="F719" i="1" s="1"/>
  <c r="B746" i="1"/>
  <c r="B747" i="1" s="1"/>
  <c r="B748" i="1" s="1"/>
  <c r="B749" i="1"/>
  <c r="B750" i="1" s="1"/>
  <c r="B751" i="1" s="1"/>
  <c r="G739" i="1"/>
  <c r="G733" i="1" s="1"/>
  <c r="I729" i="1"/>
  <c r="J729" i="1"/>
  <c r="K739" i="1"/>
  <c r="K733" i="1" s="1"/>
  <c r="I723" i="1"/>
  <c r="I720" i="1" s="1"/>
  <c r="I719" i="1" s="1"/>
  <c r="H723" i="1"/>
  <c r="H720" i="1" s="1"/>
  <c r="H719" i="1" s="1"/>
  <c r="K729" i="1"/>
  <c r="G729" i="1"/>
  <c r="K723" i="1"/>
  <c r="K720" i="1" s="1"/>
  <c r="K719" i="1" s="1"/>
  <c r="J723" i="1"/>
  <c r="J720" i="1" s="1"/>
  <c r="J719" i="1" s="1"/>
  <c r="G723" i="1"/>
  <c r="G720" i="1" s="1"/>
  <c r="G719" i="1" s="1"/>
  <c r="H729" i="1"/>
  <c r="H677" i="1"/>
  <c r="E11" i="4" s="1"/>
  <c r="K677" i="1"/>
  <c r="H11" i="4" s="1"/>
  <c r="I677" i="1"/>
  <c r="F11" i="4" s="1"/>
  <c r="F677" i="1"/>
  <c r="C11" i="4" s="1"/>
  <c r="J677" i="1"/>
  <c r="G11" i="4" s="1"/>
  <c r="G677" i="1"/>
  <c r="D11" i="4" s="1"/>
  <c r="K736" i="1" l="1" a="1"/>
  <c r="K736" i="1" s="1"/>
  <c r="K734" i="1" a="1"/>
  <c r="K734" i="1" s="1"/>
  <c r="J734" i="1" a="1"/>
  <c r="J734" i="1" s="1"/>
  <c r="J743" i="1" s="1"/>
  <c r="J736" i="1" a="1"/>
  <c r="J736" i="1" s="1"/>
  <c r="J756" i="1" s="1"/>
  <c r="J732" i="1"/>
  <c r="H746" i="1"/>
  <c r="H756" i="1"/>
  <c r="H732" i="1"/>
  <c r="H753" i="1"/>
  <c r="H749" i="1"/>
  <c r="H760" i="1"/>
  <c r="H752" i="1"/>
  <c r="H743" i="1"/>
  <c r="H759" i="1"/>
  <c r="F753" i="1"/>
  <c r="I757" i="1"/>
  <c r="I744" i="1"/>
  <c r="I748" i="1"/>
  <c r="H747" i="1"/>
  <c r="I755" i="1"/>
  <c r="I752" i="1"/>
  <c r="I743" i="1"/>
  <c r="I753" i="1"/>
  <c r="I749" i="1"/>
  <c r="I759" i="1"/>
  <c r="I746" i="1"/>
  <c r="H757" i="1"/>
  <c r="I756" i="1"/>
  <c r="H744" i="1"/>
  <c r="I732" i="1"/>
  <c r="H754" i="1"/>
  <c r="H751" i="1"/>
  <c r="H748" i="1"/>
  <c r="F744" i="1"/>
  <c r="F754" i="1"/>
  <c r="F758" i="1"/>
  <c r="F751" i="1"/>
  <c r="F748" i="1"/>
  <c r="F752" i="1"/>
  <c r="F745" i="1"/>
  <c r="F755" i="1"/>
  <c r="F747" i="1"/>
  <c r="F757" i="1"/>
  <c r="F749" i="1"/>
  <c r="F759" i="1"/>
  <c r="F756" i="1"/>
  <c r="F750" i="1"/>
  <c r="F760" i="1"/>
  <c r="F746" i="1"/>
  <c r="F743" i="1"/>
  <c r="H758" i="1"/>
  <c r="I747" i="1"/>
  <c r="H745" i="1"/>
  <c r="H755" i="1"/>
  <c r="I754" i="1"/>
  <c r="I751" i="1"/>
  <c r="I750" i="1"/>
  <c r="I760" i="1"/>
  <c r="I758" i="1"/>
  <c r="K732" i="1"/>
  <c r="C752" i="1"/>
  <c r="C753" i="1" s="1"/>
  <c r="C754" i="1" s="1"/>
  <c r="C755" i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B752" i="1"/>
  <c r="B753" i="1" s="1"/>
  <c r="B754" i="1" s="1"/>
  <c r="B755" i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G732" i="1"/>
  <c r="G753" i="1"/>
  <c r="G743" i="1"/>
  <c r="G756" i="1"/>
  <c r="G746" i="1"/>
  <c r="G760" i="1"/>
  <c r="G750" i="1"/>
  <c r="G759" i="1"/>
  <c r="G749" i="1"/>
  <c r="G752" i="1"/>
  <c r="G755" i="1"/>
  <c r="G745" i="1"/>
  <c r="G757" i="1"/>
  <c r="G747" i="1"/>
  <c r="G758" i="1"/>
  <c r="G748" i="1"/>
  <c r="G751" i="1"/>
  <c r="G754" i="1"/>
  <c r="G744" i="1"/>
  <c r="E599" i="1"/>
  <c r="E600" i="1" s="1"/>
  <c r="E601" i="1" s="1"/>
  <c r="J757" i="1" l="1"/>
  <c r="J760" i="1"/>
  <c r="J745" i="1"/>
  <c r="J746" i="1"/>
  <c r="J759" i="1"/>
  <c r="J758" i="1"/>
  <c r="J755" i="1"/>
  <c r="J735" i="1"/>
  <c r="J747" i="1"/>
  <c r="J744" i="1"/>
  <c r="J748" i="1"/>
  <c r="B779" i="1"/>
  <c r="B780" i="1" s="1"/>
  <c r="B781" i="1" s="1"/>
  <c r="B778" i="1"/>
  <c r="C779" i="1"/>
  <c r="C780" i="1" s="1"/>
  <c r="C781" i="1" s="1"/>
  <c r="C778" i="1"/>
  <c r="K759" i="1"/>
  <c r="K756" i="1"/>
  <c r="K755" i="1"/>
  <c r="K758" i="1"/>
  <c r="K757" i="1"/>
  <c r="K760" i="1"/>
  <c r="K735" i="1"/>
  <c r="K746" i="1"/>
  <c r="K745" i="1"/>
  <c r="K748" i="1"/>
  <c r="K743" i="1"/>
  <c r="K744" i="1"/>
  <c r="K747" i="1"/>
  <c r="J656" i="1"/>
  <c r="J639" i="1"/>
  <c r="K656" i="1"/>
  <c r="F657" i="1"/>
  <c r="G657" i="1"/>
  <c r="F654" i="1"/>
  <c r="H657" i="1"/>
  <c r="G654" i="1"/>
  <c r="I657" i="1"/>
  <c r="H654" i="1"/>
  <c r="J657" i="1"/>
  <c r="I654" i="1"/>
  <c r="K657" i="1"/>
  <c r="J654" i="1"/>
  <c r="F649" i="1"/>
  <c r="F658" i="1"/>
  <c r="K654" i="1"/>
  <c r="G649" i="1"/>
  <c r="G658" i="1"/>
  <c r="F655" i="1"/>
  <c r="H649" i="1"/>
  <c r="H658" i="1"/>
  <c r="K639" i="1"/>
  <c r="G655" i="1"/>
  <c r="I649" i="1"/>
  <c r="I658" i="1"/>
  <c r="H655" i="1"/>
  <c r="J649" i="1"/>
  <c r="J658" i="1"/>
  <c r="I655" i="1"/>
  <c r="K649" i="1"/>
  <c r="K658" i="1"/>
  <c r="J655" i="1"/>
  <c r="F659" i="1"/>
  <c r="K655" i="1"/>
  <c r="G659" i="1"/>
  <c r="G589" i="1"/>
  <c r="F656" i="1"/>
  <c r="H659" i="1"/>
  <c r="G656" i="1"/>
  <c r="I659" i="1"/>
  <c r="H656" i="1"/>
  <c r="J659" i="1"/>
  <c r="I656" i="1"/>
  <c r="K659" i="1"/>
  <c r="F644" i="1"/>
  <c r="H644" i="1"/>
  <c r="G644" i="1"/>
  <c r="I644" i="1"/>
  <c r="K644" i="1"/>
  <c r="J644" i="1"/>
  <c r="F639" i="1"/>
  <c r="H629" i="1"/>
  <c r="G639" i="1"/>
  <c r="J629" i="1"/>
  <c r="I639" i="1"/>
  <c r="H639" i="1"/>
  <c r="H634" i="1"/>
  <c r="G634" i="1"/>
  <c r="K634" i="1"/>
  <c r="I634" i="1"/>
  <c r="F634" i="1"/>
  <c r="J634" i="1"/>
  <c r="G624" i="1"/>
  <c r="H624" i="1"/>
  <c r="I624" i="1"/>
  <c r="J624" i="1"/>
  <c r="F624" i="1"/>
  <c r="K624" i="1"/>
  <c r="F629" i="1"/>
  <c r="G629" i="1"/>
  <c r="I629" i="1"/>
  <c r="K629" i="1"/>
  <c r="F585" i="1"/>
  <c r="F584" i="1" s="1"/>
  <c r="G611" i="1"/>
  <c r="F599" i="1"/>
  <c r="G599" i="1"/>
  <c r="H589" i="1"/>
  <c r="F603" i="1"/>
  <c r="I589" i="1"/>
  <c r="F597" i="1"/>
  <c r="H597" i="1"/>
  <c r="G597" i="1"/>
  <c r="G596" i="1"/>
  <c r="I596" i="1"/>
  <c r="I606" i="1"/>
  <c r="J596" i="1"/>
  <c r="I611" i="1"/>
  <c r="H596" i="1"/>
  <c r="G585" i="1"/>
  <c r="G584" i="1" s="1"/>
  <c r="J589" i="1"/>
  <c r="K589" i="1"/>
  <c r="K596" i="1"/>
  <c r="G603" i="1"/>
  <c r="J597" i="1"/>
  <c r="K597" i="1"/>
  <c r="F606" i="1"/>
  <c r="I597" i="1"/>
  <c r="H603" i="1"/>
  <c r="I585" i="1"/>
  <c r="I584" i="1" s="1"/>
  <c r="J585" i="1"/>
  <c r="J584" i="1" s="1"/>
  <c r="K585" i="1"/>
  <c r="K584" i="1" s="1"/>
  <c r="F611" i="1"/>
  <c r="G592" i="1"/>
  <c r="F596" i="1"/>
  <c r="H585" i="1"/>
  <c r="H584" i="1" s="1"/>
  <c r="H592" i="1"/>
  <c r="H599" i="1"/>
  <c r="I592" i="1"/>
  <c r="I599" i="1"/>
  <c r="J599" i="1"/>
  <c r="K599" i="1"/>
  <c r="H611" i="1"/>
  <c r="K611" i="1"/>
  <c r="J611" i="1"/>
  <c r="I603" i="1"/>
  <c r="F610" i="1"/>
  <c r="J603" i="1"/>
  <c r="G610" i="1"/>
  <c r="K603" i="1"/>
  <c r="H610" i="1"/>
  <c r="I610" i="1"/>
  <c r="J610" i="1"/>
  <c r="K610" i="1"/>
  <c r="J592" i="1"/>
  <c r="K592" i="1"/>
  <c r="J606" i="1"/>
  <c r="K606" i="1"/>
  <c r="G606" i="1"/>
  <c r="H606" i="1"/>
  <c r="F592" i="1"/>
  <c r="F589" i="1"/>
  <c r="J632" i="1" l="1"/>
  <c r="J750" i="1"/>
  <c r="J749" i="1"/>
  <c r="J752" i="1"/>
  <c r="J753" i="1"/>
  <c r="J751" i="1"/>
  <c r="J754" i="1"/>
  <c r="K622" i="1"/>
  <c r="J622" i="1"/>
  <c r="C783" i="1"/>
  <c r="C784" i="1" s="1"/>
  <c r="C782" i="1"/>
  <c r="B783" i="1"/>
  <c r="B784" i="1" s="1"/>
  <c r="B782" i="1"/>
  <c r="K632" i="1"/>
  <c r="K749" i="1"/>
  <c r="K752" i="1"/>
  <c r="K751" i="1"/>
  <c r="K753" i="1"/>
  <c r="K754" i="1"/>
  <c r="K750" i="1"/>
  <c r="G642" i="1"/>
  <c r="H632" i="1"/>
  <c r="F622" i="1"/>
  <c r="I622" i="1"/>
  <c r="F642" i="1"/>
  <c r="G622" i="1"/>
  <c r="F632" i="1"/>
  <c r="G588" i="1"/>
  <c r="I632" i="1"/>
  <c r="G632" i="1"/>
  <c r="H642" i="1"/>
  <c r="H622" i="1"/>
  <c r="J642" i="1"/>
  <c r="I642" i="1"/>
  <c r="K642" i="1"/>
  <c r="H588" i="1"/>
  <c r="I588" i="1"/>
  <c r="J602" i="1"/>
  <c r="F602" i="1"/>
  <c r="K602" i="1"/>
  <c r="I602" i="1"/>
  <c r="H602" i="1"/>
  <c r="G602" i="1"/>
  <c r="J588" i="1"/>
  <c r="K588" i="1"/>
  <c r="F588" i="1"/>
  <c r="H10" i="4" l="1"/>
  <c r="C10" i="4"/>
  <c r="G10" i="4"/>
  <c r="F10" i="4"/>
  <c r="E10" i="4"/>
  <c r="D10" i="4"/>
  <c r="B786" i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785" i="1"/>
  <c r="C786" i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785" i="1"/>
  <c r="C880" i="1" l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15" i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B880" i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15" i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K504" i="1"/>
  <c r="J504" i="1"/>
  <c r="I504" i="1"/>
  <c r="H504" i="1"/>
  <c r="G504" i="1"/>
  <c r="F504" i="1"/>
  <c r="B895" i="1" l="1"/>
  <c r="B896" i="1" s="1"/>
  <c r="B897" i="1" s="1"/>
  <c r="B894" i="1"/>
  <c r="C895" i="1"/>
  <c r="C896" i="1" s="1"/>
  <c r="C897" i="1" s="1"/>
  <c r="C894" i="1"/>
  <c r="B853" i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924" i="1"/>
  <c r="B925" i="1" s="1"/>
  <c r="B926" i="1" s="1"/>
  <c r="B927" i="1" s="1"/>
  <c r="B928" i="1" s="1"/>
  <c r="B929" i="1" s="1"/>
  <c r="B930" i="1" s="1"/>
  <c r="B931" i="1" s="1"/>
  <c r="B932" i="1" s="1"/>
  <c r="C853" i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924" i="1"/>
  <c r="C925" i="1" s="1"/>
  <c r="C926" i="1" s="1"/>
  <c r="C927" i="1" s="1"/>
  <c r="C928" i="1" s="1"/>
  <c r="C929" i="1" s="1"/>
  <c r="C930" i="1" s="1"/>
  <c r="C931" i="1" s="1"/>
  <c r="C932" i="1" s="1"/>
  <c r="C934" i="1" l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33" i="1"/>
  <c r="B934" i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33" i="1"/>
  <c r="C899" i="1"/>
  <c r="C900" i="1" s="1"/>
  <c r="C898" i="1"/>
  <c r="B899" i="1"/>
  <c r="B900" i="1" s="1"/>
  <c r="B898" i="1"/>
  <c r="B953" i="1" l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C953" i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B902" i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01" i="1"/>
  <c r="C902" i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01" i="1"/>
  <c r="B920" i="1" l="1"/>
  <c r="B921" i="1" s="1"/>
  <c r="B922" i="1" s="1"/>
  <c r="B923" i="1" s="1"/>
  <c r="B918" i="1"/>
  <c r="B919" i="1" s="1"/>
  <c r="C920" i="1"/>
  <c r="C921" i="1" s="1"/>
  <c r="C922" i="1" s="1"/>
  <c r="C970" i="1" s="1"/>
  <c r="C971" i="1" s="1"/>
  <c r="C918" i="1"/>
  <c r="C919" i="1" s="1"/>
  <c r="C923" i="1" l="1"/>
  <c r="B970" i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C972" i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B1036" i="1" l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034" i="1"/>
  <c r="B1035" i="1" s="1"/>
  <c r="C1036" i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034" i="1"/>
  <c r="C1035" i="1" s="1"/>
  <c r="F959" i="1"/>
  <c r="G959" i="1"/>
  <c r="H959" i="1"/>
  <c r="I959" i="1"/>
  <c r="J959" i="1"/>
  <c r="K959" i="1"/>
  <c r="C1107" i="1" l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B1107" i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J919" i="1"/>
  <c r="J918" i="1" s="1"/>
  <c r="I919" i="1"/>
  <c r="I918" i="1" s="1"/>
  <c r="H919" i="1"/>
  <c r="H918" i="1" s="1"/>
  <c r="G919" i="1"/>
  <c r="G918" i="1" s="1"/>
  <c r="F919" i="1"/>
  <c r="F918" i="1" s="1"/>
  <c r="K919" i="1"/>
  <c r="K918" i="1" s="1"/>
  <c r="J812" i="1"/>
  <c r="I812" i="1"/>
  <c r="H812" i="1"/>
  <c r="G812" i="1"/>
  <c r="F812" i="1"/>
  <c r="K812" i="1"/>
  <c r="B1150" i="1" l="1"/>
  <c r="B1151" i="1" s="1"/>
  <c r="B1152" i="1" s="1"/>
  <c r="B1153" i="1" s="1"/>
  <c r="B1154" i="1" s="1"/>
  <c r="B1155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45" i="1"/>
  <c r="B1146" i="1" s="1"/>
  <c r="B1147" i="1" s="1"/>
  <c r="B1148" i="1" s="1"/>
  <c r="B1149" i="1" s="1"/>
  <c r="C1150" i="1"/>
  <c r="C1151" i="1" s="1"/>
  <c r="C1152" i="1" s="1"/>
  <c r="C1153" i="1" s="1"/>
  <c r="C1154" i="1" s="1"/>
  <c r="C1155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45" i="1"/>
  <c r="C1146" i="1" s="1"/>
  <c r="C1147" i="1" s="1"/>
  <c r="C1148" i="1" s="1"/>
  <c r="C1149" i="1" s="1"/>
  <c r="F969" i="1"/>
  <c r="J969" i="1"/>
  <c r="H969" i="1"/>
  <c r="K969" i="1"/>
  <c r="G969" i="1"/>
  <c r="I969" i="1"/>
  <c r="K957" i="1"/>
  <c r="F892" i="1"/>
  <c r="G957" i="1"/>
  <c r="H957" i="1"/>
  <c r="I957" i="1"/>
  <c r="J957" i="1"/>
  <c r="B1156" i="1" l="1"/>
  <c r="B1157" i="1" s="1"/>
  <c r="B1158" i="1" s="1"/>
  <c r="B1159" i="1" s="1"/>
  <c r="C1156" i="1"/>
  <c r="C1157" i="1" s="1"/>
  <c r="C1158" i="1" s="1"/>
  <c r="C1159" i="1" s="1"/>
  <c r="C1183" i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179" i="1"/>
  <c r="C1180" i="1" s="1"/>
  <c r="C1181" i="1" s="1"/>
  <c r="C1182" i="1" s="1"/>
  <c r="B1183" i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179" i="1"/>
  <c r="B1180" i="1" s="1"/>
  <c r="B1181" i="1" s="1"/>
  <c r="B1182" i="1" s="1"/>
  <c r="J892" i="1"/>
  <c r="J898" i="1"/>
  <c r="I892" i="1"/>
  <c r="I898" i="1"/>
  <c r="H892" i="1"/>
  <c r="H898" i="1"/>
  <c r="G892" i="1"/>
  <c r="G898" i="1"/>
  <c r="K892" i="1"/>
  <c r="K898" i="1"/>
  <c r="B1206" i="1" l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202" i="1"/>
  <c r="B1203" i="1" s="1"/>
  <c r="B1204" i="1" s="1"/>
  <c r="B1205" i="1" s="1"/>
  <c r="C1206" i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202" i="1"/>
  <c r="C1203" i="1" s="1"/>
  <c r="C1204" i="1" s="1"/>
  <c r="C1205" i="1" s="1"/>
  <c r="C1488" i="1" l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484" i="1"/>
  <c r="C1485" i="1" s="1"/>
  <c r="C1486" i="1" s="1"/>
  <c r="C1487" i="1" s="1"/>
  <c r="B1488" i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484" i="1"/>
  <c r="B1485" i="1" s="1"/>
  <c r="B1486" i="1" s="1"/>
  <c r="B1487" i="1" s="1"/>
  <c r="F612" i="1"/>
  <c r="F653" i="1"/>
  <c r="G612" i="1"/>
  <c r="G653" i="1"/>
  <c r="H653" i="1"/>
  <c r="H612" i="1"/>
  <c r="I653" i="1"/>
  <c r="I612" i="1"/>
  <c r="J653" i="1"/>
  <c r="J612" i="1"/>
  <c r="K612" i="1"/>
  <c r="K653" i="1"/>
  <c r="B1506" i="1" l="1"/>
  <c r="B1511" i="1"/>
  <c r="C1506" i="1"/>
  <c r="C1511" i="1"/>
  <c r="C1512" i="1" l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507" i="1"/>
  <c r="C1508" i="1" s="1"/>
  <c r="C1509" i="1" s="1"/>
  <c r="C1510" i="1" s="1"/>
  <c r="B1512" i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507" i="1"/>
  <c r="B1508" i="1" s="1"/>
  <c r="B1509" i="1" s="1"/>
  <c r="B1510" i="1" s="1"/>
  <c r="B1753" i="1" l="1"/>
  <c r="B1761" i="1"/>
  <c r="B1762" i="1" s="1"/>
  <c r="B1763" i="1" s="1"/>
  <c r="B1764" i="1" s="1"/>
  <c r="B1765" i="1" s="1"/>
  <c r="C1753" i="1"/>
  <c r="C1761" i="1"/>
  <c r="C1762" i="1" s="1"/>
  <c r="C1763" i="1" s="1"/>
  <c r="C1764" i="1" s="1"/>
  <c r="C1765" i="1" s="1"/>
  <c r="K581" i="1"/>
  <c r="J581" i="1"/>
  <c r="I581" i="1"/>
  <c r="H581" i="1"/>
  <c r="G581" i="1"/>
  <c r="F581" i="1"/>
  <c r="B1754" i="1" l="1"/>
  <c r="B1755" i="1" s="1"/>
  <c r="B1756" i="1" s="1"/>
  <c r="B1757" i="1" s="1"/>
  <c r="B1758" i="1" s="1"/>
  <c r="B1759" i="1" s="1"/>
  <c r="B1760" i="1" s="1"/>
  <c r="C1754" i="1"/>
  <c r="C1755" i="1" s="1"/>
  <c r="C1756" i="1" s="1"/>
  <c r="C1757" i="1" s="1"/>
  <c r="C1758" i="1" s="1"/>
  <c r="C1759" i="1" s="1"/>
  <c r="C1760" i="1" s="1"/>
  <c r="C1766" i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B1766" i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G441" i="1"/>
  <c r="F441" i="1"/>
  <c r="H441" i="1"/>
  <c r="I441" i="1"/>
  <c r="J441" i="1"/>
  <c r="K441" i="1"/>
  <c r="C1782" i="1" l="1"/>
  <c r="C1783" i="1" s="1"/>
  <c r="C1784" i="1" s="1"/>
  <c r="C1785" i="1" s="1"/>
  <c r="C1786" i="1" s="1"/>
  <c r="C1787" i="1" s="1"/>
  <c r="B1782" i="1"/>
  <c r="B1783" i="1" s="1"/>
  <c r="B1784" i="1" s="1"/>
  <c r="B1785" i="1" s="1"/>
  <c r="B1786" i="1" s="1"/>
  <c r="B1787" i="1" s="1"/>
  <c r="F890" i="1"/>
  <c r="G890" i="1"/>
  <c r="H890" i="1"/>
  <c r="I890" i="1"/>
  <c r="J890" i="1"/>
  <c r="K890" i="1"/>
  <c r="B1788" i="1" l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6" i="1" s="1"/>
  <c r="B1807" i="1" s="1"/>
  <c r="B1804" i="1" s="1"/>
  <c r="C1788" i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6" i="1" s="1"/>
  <c r="C1807" i="1" s="1"/>
  <c r="C1804" i="1" s="1"/>
  <c r="G889" i="1"/>
  <c r="G886" i="1" s="1"/>
  <c r="G887" i="1"/>
  <c r="H889" i="1"/>
  <c r="H886" i="1" s="1"/>
  <c r="H887" i="1"/>
  <c r="I887" i="1"/>
  <c r="I889" i="1"/>
  <c r="I886" i="1" s="1"/>
  <c r="K887" i="1"/>
  <c r="K889" i="1"/>
  <c r="K886" i="1" s="1"/>
  <c r="F889" i="1"/>
  <c r="F886" i="1" s="1"/>
  <c r="F887" i="1"/>
  <c r="J887" i="1"/>
  <c r="J889" i="1"/>
  <c r="J886" i="1" s="1"/>
  <c r="C1808" i="1" l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1805" i="1"/>
  <c r="B1805" i="1"/>
  <c r="B1808" i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I885" i="1"/>
  <c r="I956" i="1"/>
  <c r="F885" i="1"/>
  <c r="F956" i="1"/>
  <c r="J885" i="1"/>
  <c r="J956" i="1"/>
  <c r="K885" i="1"/>
  <c r="K956" i="1"/>
  <c r="H885" i="1"/>
  <c r="H956" i="1"/>
  <c r="G885" i="1"/>
  <c r="G956" i="1"/>
  <c r="K509" i="1"/>
  <c r="J509" i="1"/>
  <c r="I509" i="1"/>
  <c r="H509" i="1"/>
  <c r="G509" i="1"/>
  <c r="F509" i="1"/>
  <c r="B1809" i="1" l="1"/>
  <c r="B1810" i="1" s="1"/>
  <c r="B1811" i="1" s="1"/>
  <c r="B1812" i="1" s="1"/>
  <c r="B1813" i="1" s="1"/>
  <c r="B1814" i="1" s="1"/>
  <c r="B1815" i="1" s="1"/>
  <c r="B1816" i="1" s="1"/>
  <c r="B1817" i="1" s="1"/>
  <c r="B1880" i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C1809" i="1"/>
  <c r="C1810" i="1" s="1"/>
  <c r="C1811" i="1" s="1"/>
  <c r="C1812" i="1" s="1"/>
  <c r="C1813" i="1" s="1"/>
  <c r="C1814" i="1" s="1"/>
  <c r="C1815" i="1" s="1"/>
  <c r="C1816" i="1" s="1"/>
  <c r="C1817" i="1" s="1"/>
  <c r="C1880" i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K921" i="1"/>
  <c r="J921" i="1"/>
  <c r="I921" i="1"/>
  <c r="H921" i="1"/>
  <c r="G921" i="1"/>
  <c r="F921" i="1"/>
  <c r="K815" i="1"/>
  <c r="J815" i="1"/>
  <c r="I815" i="1"/>
  <c r="H815" i="1"/>
  <c r="G815" i="1"/>
  <c r="F815" i="1"/>
  <c r="K810" i="1"/>
  <c r="J810" i="1"/>
  <c r="I810" i="1"/>
  <c r="H810" i="1"/>
  <c r="G810" i="1"/>
  <c r="F810" i="1"/>
  <c r="K788" i="1"/>
  <c r="J788" i="1"/>
  <c r="I788" i="1"/>
  <c r="H788" i="1"/>
  <c r="G788" i="1"/>
  <c r="F788" i="1"/>
  <c r="B2228" i="1" l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29" i="1"/>
  <c r="C2228" i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29" i="1"/>
  <c r="B1898" i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2109" i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C1898" i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2109" i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B1818" i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19" i="1"/>
  <c r="C1818" i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19" i="1"/>
  <c r="K915" i="1"/>
  <c r="K880" i="1" s="1"/>
  <c r="H5" i="4" s="1"/>
  <c r="K968" i="1"/>
  <c r="J915" i="1"/>
  <c r="J880" i="1" s="1"/>
  <c r="G5" i="4" s="1"/>
  <c r="J968" i="1"/>
  <c r="G915" i="1"/>
  <c r="G968" i="1"/>
  <c r="F915" i="1"/>
  <c r="F968" i="1"/>
  <c r="H915" i="1"/>
  <c r="H880" i="1" s="1"/>
  <c r="E5" i="4" s="1"/>
  <c r="H968" i="1"/>
  <c r="I915" i="1"/>
  <c r="I968" i="1"/>
  <c r="F806" i="1"/>
  <c r="F808" i="1" s="1"/>
  <c r="G806" i="1"/>
  <c r="G808" i="1" s="1"/>
  <c r="I880" i="1"/>
  <c r="F5" i="4" s="1"/>
  <c r="I806" i="1"/>
  <c r="I808" i="1" s="1"/>
  <c r="K806" i="1"/>
  <c r="K808" i="1" s="1"/>
  <c r="H806" i="1"/>
  <c r="H808" i="1" s="1"/>
  <c r="J806" i="1"/>
  <c r="J808" i="1" s="1"/>
  <c r="B1949" i="1" l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160" i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C1949" i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160" i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G880" i="1"/>
  <c r="D5" i="4" s="1"/>
  <c r="F880" i="1"/>
  <c r="C5" i="4" s="1"/>
  <c r="B2017" i="1" l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308" i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C2017" i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308" i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I842" i="1"/>
  <c r="I875" i="1"/>
  <c r="G842" i="1"/>
  <c r="G875" i="1"/>
  <c r="F844" i="1"/>
  <c r="F876" i="1"/>
  <c r="H842" i="1"/>
  <c r="H875" i="1"/>
  <c r="K842" i="1"/>
  <c r="K875" i="1"/>
  <c r="G844" i="1"/>
  <c r="G876" i="1"/>
  <c r="I844" i="1"/>
  <c r="I876" i="1"/>
  <c r="J844" i="1"/>
  <c r="J876" i="1"/>
  <c r="F846" i="1"/>
  <c r="F877" i="1"/>
  <c r="J846" i="1"/>
  <c r="J877" i="1"/>
  <c r="F842" i="1"/>
  <c r="F875" i="1"/>
  <c r="J842" i="1"/>
  <c r="J875" i="1"/>
  <c r="H844" i="1"/>
  <c r="H876" i="1"/>
  <c r="K844" i="1"/>
  <c r="K876" i="1"/>
  <c r="G846" i="1"/>
  <c r="G877" i="1"/>
  <c r="H846" i="1"/>
  <c r="H877" i="1"/>
  <c r="I846" i="1"/>
  <c r="I877" i="1"/>
  <c r="K846" i="1"/>
  <c r="K877" i="1"/>
  <c r="F828" i="1"/>
  <c r="F864" i="1"/>
  <c r="G828" i="1"/>
  <c r="G864" i="1"/>
  <c r="H828" i="1"/>
  <c r="H864" i="1"/>
  <c r="J828" i="1"/>
  <c r="J864" i="1"/>
  <c r="K828" i="1"/>
  <c r="K864" i="1"/>
  <c r="I828" i="1"/>
  <c r="I864" i="1"/>
  <c r="F706" i="1" l="1"/>
  <c r="I701" i="1"/>
  <c r="J701" i="1"/>
  <c r="K701" i="1"/>
  <c r="G703" i="1"/>
  <c r="H703" i="1"/>
  <c r="I703" i="1"/>
  <c r="J703" i="1"/>
  <c r="K703" i="1"/>
  <c r="F701" i="1"/>
  <c r="F703" i="1"/>
  <c r="J706" i="1" l="1"/>
  <c r="I706" i="1"/>
  <c r="G706" i="1"/>
  <c r="K706" i="1"/>
  <c r="H706" i="1"/>
  <c r="H670" i="1"/>
  <c r="H701" i="1"/>
  <c r="G670" i="1"/>
  <c r="G701" i="1"/>
  <c r="H700" i="1"/>
  <c r="F700" i="1"/>
  <c r="K700" i="1"/>
  <c r="J700" i="1"/>
  <c r="F692" i="1"/>
  <c r="F689" i="1" s="1"/>
  <c r="I700" i="1"/>
  <c r="G692" i="1" l="1"/>
  <c r="G689" i="1" s="1"/>
  <c r="H692" i="1"/>
  <c r="H689" i="1" s="1"/>
  <c r="J674" i="1"/>
  <c r="J660" i="1" s="1"/>
  <c r="J702" i="1"/>
  <c r="I674" i="1"/>
  <c r="I660" i="1" s="1"/>
  <c r="I702" i="1"/>
  <c r="K674" i="1"/>
  <c r="K660" i="1" s="1"/>
  <c r="K702" i="1"/>
  <c r="F674" i="1"/>
  <c r="F660" i="1" s="1"/>
  <c r="F702" i="1"/>
  <c r="H674" i="1"/>
  <c r="H660" i="1" s="1"/>
  <c r="H702" i="1"/>
  <c r="G674" i="1"/>
  <c r="G660" i="1" s="1"/>
  <c r="G702" i="1"/>
  <c r="G691" i="1"/>
  <c r="G688" i="1" s="1"/>
  <c r="G700" i="1"/>
  <c r="F670" i="1"/>
  <c r="J670" i="1"/>
  <c r="J692" i="1"/>
  <c r="J689" i="1" s="1"/>
  <c r="I670" i="1"/>
  <c r="I692" i="1"/>
  <c r="I689" i="1" s="1"/>
  <c r="K670" i="1"/>
  <c r="K692" i="1"/>
  <c r="K689" i="1" s="1"/>
  <c r="J669" i="1"/>
  <c r="G690" i="1" l="1"/>
  <c r="G687" i="1" s="1"/>
  <c r="G671" i="1"/>
  <c r="G668" i="1" s="1"/>
  <c r="G669" i="1"/>
  <c r="J671" i="1"/>
  <c r="J668" i="1" s="1"/>
  <c r="J691" i="1"/>
  <c r="K671" i="1"/>
  <c r="K668" i="1" s="1"/>
  <c r="K691" i="1"/>
  <c r="F671" i="1"/>
  <c r="F668" i="1" s="1"/>
  <c r="F691" i="1"/>
  <c r="H671" i="1"/>
  <c r="H668" i="1" s="1"/>
  <c r="H691" i="1"/>
  <c r="I669" i="1"/>
  <c r="I691" i="1"/>
  <c r="I671" i="1"/>
  <c r="I668" i="1" s="1"/>
  <c r="F669" i="1"/>
  <c r="H669" i="1"/>
  <c r="K669" i="1"/>
  <c r="I690" i="1" l="1"/>
  <c r="I687" i="1" s="1"/>
  <c r="I688" i="1"/>
  <c r="H690" i="1"/>
  <c r="H687" i="1" s="1"/>
  <c r="H688" i="1"/>
  <c r="J690" i="1"/>
  <c r="J687" i="1" s="1"/>
  <c r="J688" i="1"/>
  <c r="F690" i="1"/>
  <c r="F687" i="1" s="1"/>
  <c r="F688" i="1"/>
  <c r="K690" i="1"/>
  <c r="K687" i="1" s="1"/>
  <c r="K688" i="1"/>
  <c r="K775" i="1" l="1"/>
  <c r="J775" i="1"/>
  <c r="I775" i="1"/>
  <c r="H775" i="1"/>
  <c r="G775" i="1" l="1"/>
  <c r="F775" i="1"/>
  <c r="K857" i="1" l="1"/>
  <c r="J857" i="1"/>
  <c r="I857" i="1"/>
  <c r="H857" i="1"/>
  <c r="G857" i="1"/>
  <c r="F857" i="1"/>
  <c r="G848" i="1" l="1"/>
  <c r="G878" i="1"/>
  <c r="F848" i="1"/>
  <c r="F878" i="1"/>
  <c r="I848" i="1"/>
  <c r="I878" i="1"/>
  <c r="K848" i="1"/>
  <c r="K878" i="1"/>
  <c r="H848" i="1"/>
  <c r="H878" i="1"/>
  <c r="J848" i="1"/>
  <c r="J878" i="1"/>
  <c r="J862" i="1"/>
  <c r="K862" i="1"/>
  <c r="H862" i="1"/>
  <c r="G862" i="1"/>
  <c r="F862" i="1"/>
  <c r="I862" i="1"/>
  <c r="K73" i="1" l="1"/>
  <c r="J73" i="1"/>
  <c r="I73" i="1"/>
  <c r="H73" i="1"/>
  <c r="G73" i="1"/>
  <c r="K955" i="1" l="1"/>
  <c r="J955" i="1"/>
  <c r="I955" i="1"/>
  <c r="H955" i="1"/>
  <c r="G955" i="1"/>
  <c r="F955" i="1"/>
  <c r="F874" i="1"/>
  <c r="H830" i="1"/>
  <c r="K763" i="1"/>
  <c r="K856" i="1" s="1"/>
  <c r="J763" i="1"/>
  <c r="J856" i="1" s="1"/>
  <c r="I763" i="1"/>
  <c r="I856" i="1" s="1"/>
  <c r="H763" i="1"/>
  <c r="H856" i="1" s="1"/>
  <c r="G763" i="1"/>
  <c r="G856" i="1" s="1"/>
  <c r="F763" i="1"/>
  <c r="F856" i="1" s="1"/>
  <c r="G830" i="1" l="1"/>
  <c r="F830" i="1"/>
  <c r="F850" i="1"/>
  <c r="F879" i="1"/>
  <c r="H850" i="1"/>
  <c r="H879" i="1"/>
  <c r="J850" i="1"/>
  <c r="J879" i="1"/>
  <c r="I830" i="1"/>
  <c r="K850" i="1"/>
  <c r="K879" i="1"/>
  <c r="G850" i="1"/>
  <c r="G879" i="1"/>
  <c r="I850" i="1"/>
  <c r="I879" i="1"/>
  <c r="K852" i="1"/>
  <c r="G821" i="1"/>
  <c r="I821" i="1"/>
  <c r="J821" i="1"/>
  <c r="F824" i="1"/>
  <c r="H821" i="1"/>
  <c r="K821" i="1"/>
  <c r="G824" i="1"/>
  <c r="H824" i="1"/>
  <c r="I824" i="1"/>
  <c r="J824" i="1"/>
  <c r="K824" i="1"/>
  <c r="J830" i="1"/>
  <c r="F852" i="1"/>
  <c r="K830" i="1"/>
  <c r="G852" i="1"/>
  <c r="H852" i="1"/>
  <c r="I852" i="1"/>
  <c r="F821" i="1"/>
  <c r="J852" i="1"/>
  <c r="F73" i="1"/>
  <c r="J858" i="1" l="1"/>
  <c r="J817" i="1"/>
  <c r="I858" i="1"/>
  <c r="I817" i="1"/>
  <c r="H858" i="1"/>
  <c r="H817" i="1"/>
  <c r="F858" i="1"/>
  <c r="F817" i="1"/>
  <c r="G858" i="1"/>
  <c r="G817" i="1"/>
  <c r="K858" i="1"/>
  <c r="K817" i="1"/>
  <c r="G773" i="1" l="1"/>
  <c r="G768" i="1" s="1"/>
  <c r="G860" i="1" s="1"/>
  <c r="G769" i="1" l="1"/>
  <c r="G766" i="1" s="1"/>
  <c r="G771" i="1"/>
  <c r="G767" i="1" s="1"/>
  <c r="G859" i="1" s="1"/>
  <c r="G782" i="1" l="1"/>
  <c r="G761" i="1"/>
  <c r="D4" i="4" s="1"/>
  <c r="D3" i="4" s="1"/>
  <c r="G783" i="1"/>
  <c r="G861" i="1"/>
  <c r="G779" i="1"/>
  <c r="G863" i="1" s="1"/>
  <c r="F861" i="1" l="1"/>
  <c r="I861" i="1"/>
  <c r="K861" i="1"/>
  <c r="F782" i="1"/>
  <c r="K773" i="1"/>
  <c r="K768" i="1" s="1"/>
  <c r="K860" i="1" s="1"/>
  <c r="J773" i="1"/>
  <c r="J768" i="1" s="1"/>
  <c r="J860" i="1" s="1"/>
  <c r="I773" i="1"/>
  <c r="I768" i="1" s="1"/>
  <c r="I860" i="1" s="1"/>
  <c r="H773" i="1"/>
  <c r="H768" i="1" s="1"/>
  <c r="H860" i="1" s="1"/>
  <c r="F773" i="1"/>
  <c r="F768" i="1" s="1"/>
  <c r="F860" i="1" s="1"/>
  <c r="I782" i="1" l="1"/>
  <c r="K782" i="1"/>
  <c r="H782" i="1"/>
  <c r="J782" i="1"/>
  <c r="J861" i="1"/>
  <c r="H783" i="1"/>
  <c r="H861" i="1"/>
  <c r="J779" i="1"/>
  <c r="J863" i="1" s="1"/>
  <c r="K779" i="1"/>
  <c r="K863" i="1" s="1"/>
  <c r="I783" i="1"/>
  <c r="I779" i="1"/>
  <c r="I863" i="1" s="1"/>
  <c r="F779" i="1"/>
  <c r="F863" i="1" s="1"/>
  <c r="J783" i="1"/>
  <c r="H779" i="1"/>
  <c r="H863" i="1" s="1"/>
  <c r="K783" i="1"/>
  <c r="H771" i="1"/>
  <c r="H767" i="1" s="1"/>
  <c r="H859" i="1" s="1"/>
  <c r="H769" i="1"/>
  <c r="H766" i="1" s="1"/>
  <c r="H761" i="1" s="1"/>
  <c r="E4" i="4" s="1"/>
  <c r="E3" i="4" s="1"/>
  <c r="I769" i="1"/>
  <c r="I766" i="1" s="1"/>
  <c r="I771" i="1"/>
  <c r="I767" i="1" s="1"/>
  <c r="I859" i="1" s="1"/>
  <c r="J771" i="1"/>
  <c r="J767" i="1" s="1"/>
  <c r="J859" i="1" s="1"/>
  <c r="J769" i="1"/>
  <c r="J766" i="1" s="1"/>
  <c r="F769" i="1"/>
  <c r="F766" i="1" s="1"/>
  <c r="F771" i="1"/>
  <c r="F767" i="1" s="1"/>
  <c r="F859" i="1" s="1"/>
  <c r="K771" i="1"/>
  <c r="K767" i="1" s="1"/>
  <c r="K859" i="1" s="1"/>
  <c r="K769" i="1"/>
  <c r="K766" i="1" s="1"/>
  <c r="F783" i="1"/>
  <c r="K761" i="1" l="1"/>
  <c r="H4" i="4" s="1"/>
  <c r="H3" i="4" s="1"/>
  <c r="F761" i="1"/>
  <c r="C4" i="4" s="1"/>
  <c r="C3" i="4" s="1"/>
  <c r="J761" i="1"/>
  <c r="G4" i="4" s="1"/>
  <c r="G3" i="4" s="1"/>
  <c r="I761" i="1"/>
  <c r="F4" i="4" s="1"/>
  <c r="F3" i="4" s="1"/>
  <c r="E517" i="1" l="1"/>
  <c r="E516" i="1"/>
  <c r="E512" i="1"/>
  <c r="E511" i="1"/>
  <c r="E510" i="1"/>
  <c r="E509" i="1"/>
  <c r="E508" i="1"/>
  <c r="E507" i="1"/>
  <c r="E496" i="1"/>
  <c r="E495" i="1"/>
  <c r="E494" i="1"/>
  <c r="E486" i="1"/>
  <c r="E485" i="1"/>
  <c r="E484" i="1"/>
  <c r="E483" i="1"/>
  <c r="E475" i="1"/>
  <c r="E474" i="1"/>
  <c r="E473" i="1"/>
  <c r="E489" i="1" s="1"/>
  <c r="E472" i="1"/>
  <c r="C407" i="1"/>
  <c r="B407" i="1"/>
  <c r="F387" i="1" l="1"/>
  <c r="G387" i="1"/>
  <c r="I387" i="1"/>
  <c r="H387" i="1"/>
  <c r="J387" i="1"/>
  <c r="K387" i="1"/>
  <c r="K459" i="1"/>
  <c r="J459" i="1"/>
  <c r="I459" i="1"/>
  <c r="H459" i="1"/>
  <c r="G459" i="1"/>
  <c r="F459" i="1"/>
  <c r="K457" i="1" l="1"/>
  <c r="J457" i="1"/>
  <c r="I457" i="1"/>
  <c r="H457" i="1"/>
  <c r="G457" i="1"/>
  <c r="F457" i="1"/>
  <c r="K455" i="1" l="1"/>
  <c r="J455" i="1"/>
  <c r="I455" i="1"/>
  <c r="H455" i="1"/>
  <c r="G455" i="1"/>
  <c r="F455" i="1"/>
  <c r="K453" i="1"/>
  <c r="J453" i="1"/>
  <c r="I453" i="1"/>
  <c r="H453" i="1"/>
  <c r="G453" i="1"/>
  <c r="F453" i="1"/>
  <c r="K445" i="1"/>
  <c r="J445" i="1"/>
  <c r="I445" i="1"/>
  <c r="H445" i="1"/>
  <c r="G445" i="1"/>
  <c r="F445" i="1"/>
  <c r="F443" i="1" l="1"/>
  <c r="F440" i="1" s="1"/>
  <c r="F439" i="1" s="1"/>
  <c r="G443" i="1"/>
  <c r="G440" i="1" s="1"/>
  <c r="G439" i="1" s="1"/>
  <c r="H443" i="1"/>
  <c r="H440" i="1" s="1"/>
  <c r="H439" i="1" s="1"/>
  <c r="I443" i="1"/>
  <c r="I440" i="1" s="1"/>
  <c r="I439" i="1" s="1"/>
  <c r="J443" i="1"/>
  <c r="J440" i="1" s="1"/>
  <c r="J439" i="1" s="1"/>
  <c r="K443" i="1"/>
  <c r="K440" i="1" s="1"/>
  <c r="K439" i="1" s="1"/>
  <c r="F450" i="1"/>
  <c r="F449" i="1" s="1"/>
  <c r="F447" i="1"/>
  <c r="G450" i="1"/>
  <c r="G449" i="1" s="1"/>
  <c r="G447" i="1"/>
  <c r="H450" i="1"/>
  <c r="H449" i="1" s="1"/>
  <c r="H447" i="1"/>
  <c r="I450" i="1"/>
  <c r="I449" i="1" s="1"/>
  <c r="I447" i="1"/>
  <c r="J447" i="1"/>
  <c r="J450" i="1"/>
  <c r="J449" i="1" s="1"/>
  <c r="K447" i="1"/>
  <c r="K450" i="1"/>
  <c r="K449" i="1" s="1"/>
  <c r="I438" i="1" l="1"/>
  <c r="G438" i="1"/>
  <c r="H438" i="1"/>
  <c r="F438" i="1"/>
  <c r="K438" i="1"/>
  <c r="J438" i="1"/>
  <c r="K385" i="1" l="1"/>
  <c r="I385" i="1" l="1"/>
  <c r="J385" i="1"/>
  <c r="F385" i="1"/>
  <c r="G385" i="1"/>
  <c r="H385" i="1"/>
  <c r="G399" i="1" l="1"/>
  <c r="H399" i="1"/>
  <c r="I399" i="1"/>
  <c r="J399" i="1"/>
  <c r="K399" i="1"/>
  <c r="F399" i="1" l="1"/>
  <c r="G524" i="1" l="1"/>
  <c r="H524" i="1"/>
  <c r="I524" i="1"/>
  <c r="J524" i="1"/>
  <c r="K524" i="1"/>
  <c r="F524" i="1"/>
  <c r="K290" i="1"/>
  <c r="J290" i="1"/>
  <c r="I290" i="1"/>
  <c r="H290" i="1"/>
  <c r="G290" i="1"/>
  <c r="F290" i="1"/>
  <c r="K909" i="1"/>
  <c r="J909" i="1"/>
  <c r="I909" i="1"/>
  <c r="H909" i="1"/>
  <c r="G909" i="1"/>
  <c r="F909" i="1"/>
  <c r="E286" i="1"/>
  <c r="K908" i="1"/>
  <c r="J908" i="1"/>
  <c r="I908" i="1"/>
  <c r="H908" i="1"/>
  <c r="G908" i="1"/>
  <c r="K1044" i="1"/>
  <c r="J1044" i="1"/>
  <c r="I1044" i="1"/>
  <c r="F908" i="1"/>
  <c r="E280" i="1"/>
  <c r="E277" i="1"/>
  <c r="K274" i="1"/>
  <c r="J274" i="1"/>
  <c r="I274" i="1"/>
  <c r="H274" i="1"/>
  <c r="G274" i="1"/>
  <c r="F274" i="1"/>
  <c r="G907" i="1"/>
  <c r="H907" i="1"/>
  <c r="I907" i="1"/>
  <c r="J907" i="1"/>
  <c r="K907" i="1"/>
  <c r="F907" i="1"/>
  <c r="G906" i="1"/>
  <c r="H906" i="1"/>
  <c r="I906" i="1"/>
  <c r="J906" i="1"/>
  <c r="K906" i="1"/>
  <c r="F906" i="1"/>
  <c r="G1042" i="1"/>
  <c r="I1043" i="1"/>
  <c r="J1043" i="1"/>
  <c r="F1043" i="1"/>
  <c r="E256" i="1"/>
  <c r="E255" i="1"/>
  <c r="E254" i="1"/>
  <c r="E253" i="1"/>
  <c r="E107" i="1"/>
  <c r="E108" i="1"/>
  <c r="E109" i="1"/>
  <c r="E110" i="1"/>
  <c r="E111" i="1"/>
  <c r="K76" i="1"/>
  <c r="J76" i="1"/>
  <c r="I76" i="1"/>
  <c r="H76" i="1"/>
  <c r="G76" i="1"/>
  <c r="F76" i="1"/>
  <c r="G182" i="1"/>
  <c r="H182" i="1"/>
  <c r="I182" i="1"/>
  <c r="J182" i="1"/>
  <c r="K182" i="1"/>
  <c r="K799" i="1"/>
  <c r="J799" i="1"/>
  <c r="I799" i="1"/>
  <c r="H799" i="1"/>
  <c r="G799" i="1"/>
  <c r="F799" i="1"/>
  <c r="G292" i="1" l="1"/>
  <c r="H292" i="1"/>
  <c r="H1043" i="1"/>
  <c r="F292" i="1"/>
  <c r="G1043" i="1"/>
  <c r="K292" i="1"/>
  <c r="K1042" i="1"/>
  <c r="G905" i="1"/>
  <c r="J1042" i="1"/>
  <c r="J1041" i="1" s="1"/>
  <c r="I1042" i="1"/>
  <c r="I1041" i="1" s="1"/>
  <c r="H1042" i="1"/>
  <c r="F1044" i="1"/>
  <c r="F1042" i="1"/>
  <c r="G1044" i="1"/>
  <c r="K1043" i="1"/>
  <c r="H1044" i="1"/>
  <c r="F905" i="1"/>
  <c r="K905" i="1"/>
  <c r="J905" i="1"/>
  <c r="I905" i="1"/>
  <c r="H905" i="1"/>
  <c r="F910" i="1"/>
  <c r="F965" i="1" s="1"/>
  <c r="K910" i="1"/>
  <c r="K965" i="1" s="1"/>
  <c r="I910" i="1"/>
  <c r="I965" i="1" s="1"/>
  <c r="H910" i="1"/>
  <c r="H965" i="1" s="1"/>
  <c r="J910" i="1"/>
  <c r="J965" i="1" s="1"/>
  <c r="G910" i="1"/>
  <c r="G965" i="1" s="1"/>
  <c r="F279" i="1"/>
  <c r="F796" i="1"/>
  <c r="J279" i="1"/>
  <c r="J796" i="1"/>
  <c r="K279" i="1"/>
  <c r="K796" i="1"/>
  <c r="I279" i="1"/>
  <c r="I796" i="1"/>
  <c r="G279" i="1"/>
  <c r="G796" i="1"/>
  <c r="F797" i="1"/>
  <c r="F798" i="1"/>
  <c r="H279" i="1"/>
  <c r="H796" i="1"/>
  <c r="J797" i="1"/>
  <c r="J798" i="1"/>
  <c r="I797" i="1"/>
  <c r="I798" i="1"/>
  <c r="H797" i="1"/>
  <c r="H798" i="1"/>
  <c r="G797" i="1"/>
  <c r="G798" i="1"/>
  <c r="K797" i="1"/>
  <c r="K798" i="1"/>
  <c r="F286" i="1"/>
  <c r="J292" i="1"/>
  <c r="G286" i="1"/>
  <c r="I292" i="1"/>
  <c r="H286" i="1"/>
  <c r="H302" i="1"/>
  <c r="J286" i="1"/>
  <c r="I302" i="1"/>
  <c r="K286" i="1"/>
  <c r="I286" i="1"/>
  <c r="G410" i="1"/>
  <c r="G301" i="1"/>
  <c r="I301" i="1"/>
  <c r="H301" i="1"/>
  <c r="F301" i="1"/>
  <c r="J301" i="1"/>
  <c r="K301" i="1"/>
  <c r="G68" i="1"/>
  <c r="I68" i="1"/>
  <c r="K68" i="1"/>
  <c r="H68" i="1"/>
  <c r="J68" i="1"/>
  <c r="F68" i="1"/>
  <c r="K793" i="1"/>
  <c r="J793" i="1"/>
  <c r="I793" i="1"/>
  <c r="H793" i="1"/>
  <c r="G793" i="1"/>
  <c r="F793" i="1"/>
  <c r="K1041" i="1" l="1"/>
  <c r="H1041" i="1"/>
  <c r="G1041" i="1"/>
  <c r="F1041" i="1"/>
  <c r="F1093" i="1" s="1"/>
  <c r="I1094" i="1"/>
  <c r="I1093" i="1"/>
  <c r="I1095" i="1"/>
  <c r="J1093" i="1"/>
  <c r="J1095" i="1"/>
  <c r="J1094" i="1"/>
  <c r="I1045" i="1"/>
  <c r="I1069" i="1"/>
  <c r="I1068" i="1"/>
  <c r="I1067" i="1"/>
  <c r="J1045" i="1"/>
  <c r="J1068" i="1"/>
  <c r="J1067" i="1"/>
  <c r="J1069" i="1"/>
  <c r="F938" i="1"/>
  <c r="F961" i="1" s="1"/>
  <c r="G941" i="1"/>
  <c r="G964" i="1" s="1"/>
  <c r="F941" i="1"/>
  <c r="F964" i="1" s="1"/>
  <c r="H937" i="1"/>
  <c r="H960" i="1" s="1"/>
  <c r="K940" i="1"/>
  <c r="K963" i="1" s="1"/>
  <c r="I937" i="1"/>
  <c r="I960" i="1" s="1"/>
  <c r="J937" i="1"/>
  <c r="J960" i="1" s="1"/>
  <c r="J940" i="1"/>
  <c r="J963" i="1" s="1"/>
  <c r="I940" i="1"/>
  <c r="I963" i="1" s="1"/>
  <c r="K937" i="1"/>
  <c r="K960" i="1" s="1"/>
  <c r="K941" i="1"/>
  <c r="K964" i="1" s="1"/>
  <c r="F937" i="1"/>
  <c r="F960" i="1" s="1"/>
  <c r="G937" i="1"/>
  <c r="G960" i="1" s="1"/>
  <c r="G940" i="1"/>
  <c r="G963" i="1" s="1"/>
  <c r="I938" i="1"/>
  <c r="I961" i="1" s="1"/>
  <c r="I939" i="1"/>
  <c r="I962" i="1" s="1"/>
  <c r="G939" i="1"/>
  <c r="G962" i="1" s="1"/>
  <c r="J938" i="1"/>
  <c r="J961" i="1" s="1"/>
  <c r="F939" i="1"/>
  <c r="F962" i="1" s="1"/>
  <c r="H938" i="1"/>
  <c r="H961" i="1" s="1"/>
  <c r="H940" i="1"/>
  <c r="H963" i="1" s="1"/>
  <c r="J941" i="1"/>
  <c r="J964" i="1" s="1"/>
  <c r="H939" i="1"/>
  <c r="H962" i="1" s="1"/>
  <c r="J939" i="1"/>
  <c r="J962" i="1" s="1"/>
  <c r="F940" i="1"/>
  <c r="F963" i="1" s="1"/>
  <c r="H941" i="1"/>
  <c r="H964" i="1" s="1"/>
  <c r="K939" i="1"/>
  <c r="K962" i="1" s="1"/>
  <c r="I941" i="1"/>
  <c r="I964" i="1" s="1"/>
  <c r="K938" i="1"/>
  <c r="K961" i="1" s="1"/>
  <c r="G938" i="1"/>
  <c r="G961" i="1" s="1"/>
  <c r="H410" i="1"/>
  <c r="G280" i="1"/>
  <c r="H280" i="1"/>
  <c r="I280" i="1"/>
  <c r="F280" i="1"/>
  <c r="J280" i="1"/>
  <c r="K280" i="1"/>
  <c r="I410" i="1"/>
  <c r="G525" i="1"/>
  <c r="G302" i="1"/>
  <c r="G415" i="1"/>
  <c r="K410" i="1"/>
  <c r="K302" i="1"/>
  <c r="J410" i="1"/>
  <c r="J302" i="1"/>
  <c r="E266" i="1"/>
  <c r="E265" i="1"/>
  <c r="E264" i="1"/>
  <c r="E245" i="1"/>
  <c r="E244" i="1"/>
  <c r="E243" i="1"/>
  <c r="E259" i="1" s="1"/>
  <c r="E242" i="1"/>
  <c r="E287" i="1"/>
  <c r="E289" i="1" s="1"/>
  <c r="E282" i="1"/>
  <c r="E281" i="1"/>
  <c r="E279" i="1"/>
  <c r="E278" i="1"/>
  <c r="K1093" i="1" l="1"/>
  <c r="K1094" i="1"/>
  <c r="K1095" i="1"/>
  <c r="H1095" i="1"/>
  <c r="H1094" i="1"/>
  <c r="H1093" i="1"/>
  <c r="H1045" i="1"/>
  <c r="H1067" i="1"/>
  <c r="G1068" i="1"/>
  <c r="G1095" i="1"/>
  <c r="G1094" i="1"/>
  <c r="G1093" i="1"/>
  <c r="G1045" i="1"/>
  <c r="G1069" i="1"/>
  <c r="K1045" i="1"/>
  <c r="K1068" i="1"/>
  <c r="K1069" i="1"/>
  <c r="K1067" i="1"/>
  <c r="H1068" i="1"/>
  <c r="H1069" i="1"/>
  <c r="G1067" i="1"/>
  <c r="F1095" i="1"/>
  <c r="F1045" i="1"/>
  <c r="F1094" i="1"/>
  <c r="F1069" i="1"/>
  <c r="F1068" i="1"/>
  <c r="F1067" i="1"/>
  <c r="G413" i="1"/>
  <c r="G412" i="1" s="1"/>
  <c r="G414" i="1"/>
  <c r="H415" i="1"/>
  <c r="H525" i="1"/>
  <c r="I525" i="1"/>
  <c r="I415" i="1"/>
  <c r="K525" i="1"/>
  <c r="J525" i="1"/>
  <c r="K415" i="1"/>
  <c r="J415" i="1"/>
  <c r="E63" i="1"/>
  <c r="E65" i="1" s="1"/>
  <c r="E66" i="1" s="1"/>
  <c r="E67" i="1" s="1"/>
  <c r="E73" i="1" s="1"/>
  <c r="I46" i="1"/>
  <c r="I1732" i="1" s="1"/>
  <c r="H46" i="1"/>
  <c r="H1732" i="1" s="1"/>
  <c r="G46" i="1"/>
  <c r="G1732" i="1" s="1"/>
  <c r="F46" i="1"/>
  <c r="F1732" i="1" s="1"/>
  <c r="I45" i="1"/>
  <c r="H45" i="1"/>
  <c r="G45" i="1"/>
  <c r="F45" i="1"/>
  <c r="F1615" i="1" l="1"/>
  <c r="F1614" i="1" s="1"/>
  <c r="F1613" i="1" s="1"/>
  <c r="F1568" i="1"/>
  <c r="F1567" i="1" s="1"/>
  <c r="F1566" i="1" s="1"/>
  <c r="F1426" i="1"/>
  <c r="F1425" i="1" s="1"/>
  <c r="F1424" i="1" s="1"/>
  <c r="F1342" i="1"/>
  <c r="F1341" i="1" s="1"/>
  <c r="F1340" i="1" s="1"/>
  <c r="F1204" i="1"/>
  <c r="F1203" i="1" s="1"/>
  <c r="G1568" i="1"/>
  <c r="G1567" i="1" s="1"/>
  <c r="G1566" i="1" s="1"/>
  <c r="G1615" i="1"/>
  <c r="G1614" i="1" s="1"/>
  <c r="G1613" i="1" s="1"/>
  <c r="G1426" i="1"/>
  <c r="G1425" i="1" s="1"/>
  <c r="G1424" i="1" s="1"/>
  <c r="G1342" i="1"/>
  <c r="G1341" i="1" s="1"/>
  <c r="G1340" i="1" s="1"/>
  <c r="G1204" i="1"/>
  <c r="G1203" i="1" s="1"/>
  <c r="G1202" i="1" s="1"/>
  <c r="H1615" i="1"/>
  <c r="H1614" i="1" s="1"/>
  <c r="H1613" i="1" s="1"/>
  <c r="H1568" i="1"/>
  <c r="H1567" i="1" s="1"/>
  <c r="H1566" i="1" s="1"/>
  <c r="H1426" i="1"/>
  <c r="H1425" i="1" s="1"/>
  <c r="H1424" i="1" s="1"/>
  <c r="H1342" i="1"/>
  <c r="H1341" i="1" s="1"/>
  <c r="H1340" i="1" s="1"/>
  <c r="H1204" i="1"/>
  <c r="H1203" i="1" s="1"/>
  <c r="H1202" i="1" s="1"/>
  <c r="I1568" i="1"/>
  <c r="I1567" i="1" s="1"/>
  <c r="I1566" i="1" s="1"/>
  <c r="I1615" i="1"/>
  <c r="I1614" i="1" s="1"/>
  <c r="I1613" i="1" s="1"/>
  <c r="I1426" i="1"/>
  <c r="I1425" i="1" s="1"/>
  <c r="I1424" i="1" s="1"/>
  <c r="I1342" i="1"/>
  <c r="I1341" i="1" s="1"/>
  <c r="I1340" i="1" s="1"/>
  <c r="I1204" i="1"/>
  <c r="I1203" i="1" s="1"/>
  <c r="I1202" i="1" s="1"/>
  <c r="F1731" i="1"/>
  <c r="G1731" i="1"/>
  <c r="H1731" i="1"/>
  <c r="I1731" i="1"/>
  <c r="F44" i="1"/>
  <c r="F1730" i="1" s="1"/>
  <c r="H44" i="1"/>
  <c r="H1730" i="1" s="1"/>
  <c r="G44" i="1"/>
  <c r="G1730" i="1" s="1"/>
  <c r="I44" i="1"/>
  <c r="I1730" i="1" s="1"/>
  <c r="J413" i="1"/>
  <c r="J412" i="1" s="1"/>
  <c r="J414" i="1"/>
  <c r="K413" i="1"/>
  <c r="K412" i="1" s="1"/>
  <c r="K414" i="1"/>
  <c r="I413" i="1"/>
  <c r="I412" i="1" s="1"/>
  <c r="I414" i="1"/>
  <c r="H413" i="1"/>
  <c r="H412" i="1" s="1"/>
  <c r="H414" i="1"/>
  <c r="E129" i="1"/>
  <c r="E130" i="1" s="1"/>
  <c r="E81" i="1" s="1"/>
  <c r="E82" i="1" s="1"/>
  <c r="E83" i="1" s="1"/>
  <c r="E84" i="1" s="1"/>
  <c r="E150" i="1" s="1"/>
  <c r="E131" i="1" s="1"/>
  <c r="E132" i="1" s="1"/>
  <c r="E74" i="1" s="1"/>
  <c r="E85" i="1" s="1"/>
  <c r="E168" i="1" s="1"/>
  <c r="E76" i="1"/>
  <c r="E72" i="1"/>
  <c r="E64" i="1"/>
  <c r="K45" i="1"/>
  <c r="J45" i="1"/>
  <c r="J1731" i="1" l="1"/>
  <c r="K1731" i="1"/>
  <c r="K44" i="1"/>
  <c r="K1730" i="1" s="1"/>
  <c r="J44" i="1"/>
  <c r="J1730" i="1" s="1"/>
  <c r="E151" i="1"/>
  <c r="E165" i="1" s="1"/>
  <c r="E181" i="1" s="1"/>
  <c r="E106" i="1" s="1"/>
  <c r="E209" i="1"/>
  <c r="E80" i="1"/>
  <c r="E180" i="1"/>
  <c r="E77" i="1"/>
  <c r="K47" i="1"/>
  <c r="J47" i="1"/>
  <c r="J1426" i="1" l="1"/>
  <c r="J1342" i="1"/>
  <c r="J1204" i="1"/>
  <c r="J1568" i="1"/>
  <c r="K1427" i="1"/>
  <c r="K1343" i="1"/>
  <c r="K1616" i="1"/>
  <c r="K1205" i="1"/>
  <c r="K1569" i="1"/>
  <c r="K1204" i="1"/>
  <c r="K1342" i="1"/>
  <c r="K1426" i="1"/>
  <c r="K1615" i="1"/>
  <c r="K1568" i="1"/>
  <c r="J1616" i="1"/>
  <c r="J1427" i="1"/>
  <c r="J1343" i="1"/>
  <c r="J1205" i="1"/>
  <c r="J1569" i="1"/>
  <c r="J1615" i="1"/>
  <c r="K1733" i="1"/>
  <c r="J1733" i="1"/>
  <c r="J46" i="1"/>
  <c r="J1732" i="1" s="1"/>
  <c r="K46" i="1"/>
  <c r="K1732" i="1" s="1"/>
  <c r="E208" i="1"/>
  <c r="E267" i="1" s="1"/>
  <c r="E158" i="1"/>
  <c r="E160" i="1" s="1"/>
  <c r="E276" i="1"/>
  <c r="E275" i="1"/>
  <c r="E105" i="1"/>
  <c r="J1567" i="1" l="1"/>
  <c r="J1566" i="1" s="1"/>
  <c r="K1567" i="1"/>
  <c r="K1566" i="1" s="1"/>
  <c r="K1614" i="1"/>
  <c r="K1613" i="1" s="1"/>
  <c r="J1614" i="1"/>
  <c r="J1613" i="1" s="1"/>
  <c r="K1425" i="1"/>
  <c r="K1424" i="1" s="1"/>
  <c r="J1425" i="1"/>
  <c r="J1424" i="1" s="1"/>
  <c r="J1203" i="1"/>
  <c r="J1341" i="1"/>
  <c r="J1340" i="1" s="1"/>
  <c r="K1341" i="1"/>
  <c r="K1340" i="1" s="1"/>
  <c r="K1203" i="1"/>
  <c r="E172" i="1"/>
  <c r="E161" i="1"/>
  <c r="E174" i="1"/>
  <c r="E249" i="1" l="1"/>
  <c r="E221" i="1"/>
  <c r="E97" i="1"/>
  <c r="E239" i="1"/>
  <c r="E285" i="1" s="1"/>
  <c r="E218" i="1"/>
  <c r="E220" i="1"/>
  <c r="E223" i="1"/>
  <c r="E250" i="1"/>
  <c r="E227" i="1"/>
  <c r="E229" i="1"/>
  <c r="E99" i="1"/>
  <c r="E252" i="1"/>
  <c r="E226" i="1"/>
  <c r="E246" i="1" s="1"/>
  <c r="E241" i="1"/>
  <c r="E162" i="1"/>
  <c r="E175" i="1"/>
  <c r="E257" i="1" l="1"/>
  <c r="E288" i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258" i="1"/>
  <c r="E261" i="1"/>
  <c r="E100" i="1"/>
  <c r="E230" i="1"/>
  <c r="E248" i="1" s="1"/>
  <c r="E228" i="1"/>
  <c r="E247" i="1" s="1"/>
  <c r="E163" i="1"/>
  <c r="E176" i="1"/>
  <c r="E394" i="1" l="1"/>
  <c r="E395" i="1" s="1"/>
  <c r="E438" i="1"/>
  <c r="E497" i="1" s="1"/>
  <c r="E409" i="1"/>
  <c r="E506" i="1" s="1"/>
  <c r="E262" i="1"/>
  <c r="E101" i="1"/>
  <c r="E164" i="1"/>
  <c r="E177" i="1"/>
  <c r="E271" i="1" s="1"/>
  <c r="E396" i="1" l="1"/>
  <c r="E441" i="1" s="1"/>
  <c r="E407" i="1"/>
  <c r="E263" i="1"/>
  <c r="E102" i="1"/>
  <c r="E86" i="1"/>
  <c r="E87" i="1" s="1"/>
  <c r="E75" i="1" s="1"/>
  <c r="E152" i="1" s="1"/>
  <c r="E178" i="1"/>
  <c r="E167" i="1"/>
  <c r="E179" i="1" s="1"/>
  <c r="E274" i="1" s="1"/>
  <c r="E504" i="1" l="1"/>
  <c r="E503" i="1"/>
  <c r="E397" i="1"/>
  <c r="E439" i="1"/>
  <c r="E408" i="1"/>
  <c r="E505" i="1" s="1"/>
  <c r="E153" i="1"/>
  <c r="E133" i="1" s="1"/>
  <c r="E134" i="1" s="1"/>
  <c r="E169" i="1" s="1"/>
  <c r="E166" i="1"/>
  <c r="E273" i="1"/>
  <c r="E104" i="1"/>
  <c r="E272" i="1"/>
  <c r="E103" i="1"/>
  <c r="E443" i="1" l="1"/>
  <c r="E464" i="1"/>
  <c r="E232" i="1"/>
  <c r="E234" i="1"/>
  <c r="E135" i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398" i="1"/>
  <c r="E466" i="1" s="1"/>
  <c r="E442" i="1"/>
  <c r="E440" i="1"/>
  <c r="E513" i="1" s="1"/>
  <c r="E462" i="1"/>
  <c r="E461" i="1"/>
  <c r="E498" i="1" s="1"/>
  <c r="E210" i="1"/>
  <c r="E283" i="1" s="1"/>
  <c r="E212" i="1"/>
  <c r="E88" i="1"/>
  <c r="E89" i="1" s="1"/>
  <c r="E90" i="1" s="1"/>
  <c r="E231" i="1"/>
  <c r="E268" i="1" s="1"/>
  <c r="E159" i="1"/>
  <c r="E173" i="1" s="1"/>
  <c r="E260" i="1" s="1"/>
  <c r="E78" i="1" l="1"/>
  <c r="E399" i="1"/>
  <c r="E449" i="1" s="1"/>
  <c r="E465" i="1"/>
  <c r="E463" i="1"/>
  <c r="E499" i="1" s="1"/>
  <c r="E444" i="1"/>
  <c r="E514" i="1" s="1"/>
  <c r="E445" i="1"/>
  <c r="E251" i="1"/>
  <c r="E225" i="1"/>
  <c r="E240" i="1"/>
  <c r="E98" i="1"/>
  <c r="E224" i="1"/>
  <c r="E222" i="1"/>
  <c r="E154" i="1"/>
  <c r="E91" i="1" s="1"/>
  <c r="E92" i="1" s="1"/>
  <c r="E155" i="1" s="1"/>
  <c r="E93" i="1" s="1"/>
  <c r="E94" i="1" s="1"/>
  <c r="E156" i="1" s="1"/>
  <c r="E170" i="1" s="1"/>
  <c r="E79" i="1"/>
  <c r="E71" i="1" s="1"/>
  <c r="E213" i="1" l="1"/>
  <c r="E236" i="1"/>
  <c r="E215" i="1"/>
  <c r="E211" i="1"/>
  <c r="E400" i="1"/>
  <c r="E451" i="1" s="1"/>
  <c r="E467" i="1"/>
  <c r="E500" i="1" s="1"/>
  <c r="E447" i="1"/>
  <c r="E468" i="1"/>
  <c r="E446" i="1"/>
  <c r="E233" i="1"/>
  <c r="E269" i="1" s="1"/>
  <c r="E235" i="1"/>
  <c r="E95" i="1"/>
  <c r="E157" i="1" s="1"/>
  <c r="E171" i="1" s="1"/>
  <c r="E214" i="1"/>
  <c r="E284" i="1" s="1"/>
  <c r="E238" i="1" l="1"/>
  <c r="E219" i="1"/>
  <c r="E401" i="1"/>
  <c r="E448" i="1"/>
  <c r="E480" i="1"/>
  <c r="E479" i="1"/>
  <c r="E453" i="1"/>
  <c r="E450" i="1"/>
  <c r="E469" i="1"/>
  <c r="E96" i="1"/>
  <c r="E217" i="1"/>
  <c r="E112" i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216" i="1"/>
  <c r="E237" i="1"/>
  <c r="E270" i="1" s="1"/>
  <c r="E487" i="1" l="1"/>
  <c r="E515" i="1"/>
  <c r="E402" i="1"/>
  <c r="E490" i="1"/>
  <c r="E481" i="1"/>
  <c r="E455" i="1"/>
  <c r="E454" i="1"/>
  <c r="E452" i="1"/>
  <c r="E470" i="1"/>
  <c r="E125" i="1"/>
  <c r="E126" i="1" s="1"/>
  <c r="E127" i="1" s="1"/>
  <c r="E128" i="1" s="1"/>
  <c r="E70" i="1"/>
  <c r="E56" i="1"/>
  <c r="E57" i="1" s="1"/>
  <c r="E58" i="1" s="1"/>
  <c r="E59" i="1" s="1"/>
  <c r="F34" i="1"/>
  <c r="I35" i="1"/>
  <c r="I1721" i="1" s="1"/>
  <c r="H35" i="1"/>
  <c r="H1721" i="1" s="1"/>
  <c r="G35" i="1"/>
  <c r="G1721" i="1" s="1"/>
  <c r="F35" i="1"/>
  <c r="F1721" i="1" s="1"/>
  <c r="I34" i="1"/>
  <c r="H34" i="1"/>
  <c r="G34" i="1"/>
  <c r="I33" i="1"/>
  <c r="H33" i="1"/>
  <c r="G33" i="1"/>
  <c r="F33" i="1"/>
  <c r="K1202" i="1"/>
  <c r="J1202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2" i="1" s="1"/>
  <c r="G1650" i="1" l="1"/>
  <c r="G1649" i="1" s="1"/>
  <c r="G1600" i="1"/>
  <c r="G1599" i="1" s="1"/>
  <c r="G1598" i="1" s="1"/>
  <c r="G1553" i="1"/>
  <c r="G1552" i="1" s="1"/>
  <c r="G1551" i="1" s="1"/>
  <c r="G1509" i="1"/>
  <c r="G1508" i="1" s="1"/>
  <c r="G1507" i="1" s="1"/>
  <c r="G1158" i="1"/>
  <c r="G1157" i="1" s="1"/>
  <c r="G1156" i="1" s="1"/>
  <c r="F1650" i="1"/>
  <c r="F1649" i="1" s="1"/>
  <c r="F1600" i="1"/>
  <c r="F1599" i="1" s="1"/>
  <c r="F1598" i="1" s="1"/>
  <c r="F1553" i="1"/>
  <c r="F1552" i="1" s="1"/>
  <c r="F1551" i="1" s="1"/>
  <c r="F1509" i="1"/>
  <c r="F1508" i="1" s="1"/>
  <c r="F1507" i="1" s="1"/>
  <c r="F1158" i="1"/>
  <c r="F1157" i="1" s="1"/>
  <c r="F1156" i="1" s="1"/>
  <c r="H1650" i="1"/>
  <c r="H1649" i="1" s="1"/>
  <c r="H1600" i="1"/>
  <c r="H1599" i="1" s="1"/>
  <c r="H1598" i="1" s="1"/>
  <c r="H1553" i="1"/>
  <c r="H1552" i="1" s="1"/>
  <c r="H1551" i="1" s="1"/>
  <c r="H1509" i="1"/>
  <c r="H1508" i="1" s="1"/>
  <c r="H1507" i="1" s="1"/>
  <c r="H1158" i="1"/>
  <c r="H1157" i="1" s="1"/>
  <c r="H1156" i="1" s="1"/>
  <c r="H1656" i="1"/>
  <c r="H1607" i="1"/>
  <c r="H1606" i="1" s="1"/>
  <c r="H1605" i="1" s="1"/>
  <c r="H1560" i="1"/>
  <c r="H1559" i="1" s="1"/>
  <c r="H1558" i="1" s="1"/>
  <c r="H1412" i="1"/>
  <c r="H1411" i="1" s="1"/>
  <c r="H1410" i="1" s="1"/>
  <c r="H1328" i="1"/>
  <c r="H1327" i="1" s="1"/>
  <c r="H1326" i="1" s="1"/>
  <c r="H1181" i="1"/>
  <c r="H1180" i="1" s="1"/>
  <c r="H1179" i="1" s="1"/>
  <c r="I1650" i="1"/>
  <c r="I1649" i="1" s="1"/>
  <c r="I1600" i="1"/>
  <c r="I1599" i="1" s="1"/>
  <c r="I1598" i="1" s="1"/>
  <c r="I1553" i="1"/>
  <c r="I1552" i="1" s="1"/>
  <c r="I1551" i="1" s="1"/>
  <c r="I1509" i="1"/>
  <c r="I1508" i="1" s="1"/>
  <c r="I1507" i="1" s="1"/>
  <c r="I1158" i="1"/>
  <c r="I1157" i="1" s="1"/>
  <c r="I1156" i="1" s="1"/>
  <c r="F1656" i="1"/>
  <c r="F1607" i="1"/>
  <c r="F1606" i="1" s="1"/>
  <c r="F1605" i="1" s="1"/>
  <c r="F1560" i="1"/>
  <c r="F1559" i="1" s="1"/>
  <c r="F1558" i="1" s="1"/>
  <c r="F1412" i="1"/>
  <c r="F1411" i="1" s="1"/>
  <c r="F1410" i="1" s="1"/>
  <c r="F1328" i="1"/>
  <c r="F1327" i="1" s="1"/>
  <c r="F1326" i="1" s="1"/>
  <c r="F1181" i="1"/>
  <c r="F1180" i="1" s="1"/>
  <c r="F1179" i="1" s="1"/>
  <c r="G1656" i="1"/>
  <c r="G1607" i="1"/>
  <c r="G1606" i="1" s="1"/>
  <c r="G1605" i="1" s="1"/>
  <c r="G1560" i="1"/>
  <c r="G1559" i="1" s="1"/>
  <c r="G1558" i="1" s="1"/>
  <c r="G1412" i="1"/>
  <c r="G1411" i="1" s="1"/>
  <c r="G1410" i="1" s="1"/>
  <c r="G1328" i="1"/>
  <c r="G1327" i="1" s="1"/>
  <c r="G1326" i="1" s="1"/>
  <c r="G1181" i="1"/>
  <c r="G1180" i="1" s="1"/>
  <c r="G1179" i="1" s="1"/>
  <c r="I1656" i="1"/>
  <c r="I1607" i="1"/>
  <c r="I1606" i="1" s="1"/>
  <c r="I1605" i="1" s="1"/>
  <c r="I1560" i="1"/>
  <c r="I1559" i="1" s="1"/>
  <c r="I1558" i="1" s="1"/>
  <c r="I1412" i="1"/>
  <c r="I1411" i="1" s="1"/>
  <c r="I1410" i="1" s="1"/>
  <c r="I1328" i="1"/>
  <c r="I1327" i="1" s="1"/>
  <c r="I1326" i="1" s="1"/>
  <c r="I1181" i="1"/>
  <c r="I1180" i="1" s="1"/>
  <c r="I1179" i="1" s="1"/>
  <c r="H1720" i="1"/>
  <c r="I1720" i="1"/>
  <c r="F1720" i="1"/>
  <c r="H1719" i="1"/>
  <c r="G1720" i="1"/>
  <c r="F1719" i="1"/>
  <c r="G1719" i="1"/>
  <c r="I1719" i="1"/>
  <c r="E403" i="1"/>
  <c r="E459" i="1"/>
  <c r="E482" i="1"/>
  <c r="E457" i="1"/>
  <c r="E456" i="1"/>
  <c r="E476" i="1" s="1"/>
  <c r="E471" i="1"/>
  <c r="E60" i="1"/>
  <c r="E62" i="1" s="1"/>
  <c r="E69" i="1"/>
  <c r="E68" i="1"/>
  <c r="K40" i="1"/>
  <c r="C24" i="1"/>
  <c r="C25" i="1" s="1"/>
  <c r="C26" i="1" s="1"/>
  <c r="C27" i="1" s="1"/>
  <c r="C41" i="1" s="1"/>
  <c r="C42" i="1" s="1"/>
  <c r="C48" i="1" s="1"/>
  <c r="C29" i="1" s="1"/>
  <c r="C23" i="1"/>
  <c r="A24" i="1"/>
  <c r="A25" i="1" s="1"/>
  <c r="A26" i="1" s="1"/>
  <c r="A27" i="1" s="1"/>
  <c r="A28" i="1" s="1"/>
  <c r="A39" i="1" s="1"/>
  <c r="A23" i="1"/>
  <c r="B24" i="1"/>
  <c r="B25" i="1" s="1"/>
  <c r="B26" i="1" s="1"/>
  <c r="B27" i="1" s="1"/>
  <c r="B41" i="1" s="1"/>
  <c r="B42" i="1" s="1"/>
  <c r="B48" i="1" s="1"/>
  <c r="B29" i="1" s="1"/>
  <c r="B23" i="1"/>
  <c r="G40" i="1"/>
  <c r="F40" i="1"/>
  <c r="K23" i="1"/>
  <c r="K1709" i="1" s="1"/>
  <c r="F23" i="1"/>
  <c r="F1709" i="1" s="1"/>
  <c r="G23" i="1"/>
  <c r="G1709" i="1" s="1"/>
  <c r="H40" i="1"/>
  <c r="J40" i="1"/>
  <c r="I40" i="1"/>
  <c r="H23" i="1"/>
  <c r="H1709" i="1" s="1"/>
  <c r="I23" i="1"/>
  <c r="I1709" i="1" s="1"/>
  <c r="J23" i="1"/>
  <c r="J1709" i="1" s="1"/>
  <c r="J8" i="1"/>
  <c r="J1742" i="1" s="1"/>
  <c r="H8" i="1"/>
  <c r="H1742" i="1" s="1"/>
  <c r="G8" i="1"/>
  <c r="G1742" i="1" s="1"/>
  <c r="G49" i="1"/>
  <c r="H49" i="1"/>
  <c r="J49" i="1"/>
  <c r="G32" i="1"/>
  <c r="G1718" i="1" s="1"/>
  <c r="K49" i="1"/>
  <c r="K56" i="1"/>
  <c r="F56" i="1"/>
  <c r="J56" i="1"/>
  <c r="I56" i="1"/>
  <c r="H56" i="1"/>
  <c r="G56" i="1"/>
  <c r="F49" i="1"/>
  <c r="I49" i="1"/>
  <c r="I32" i="1"/>
  <c r="I1718" i="1" s="1"/>
  <c r="H32" i="1"/>
  <c r="H1718" i="1" s="1"/>
  <c r="F32" i="1"/>
  <c r="F1718" i="1" s="1"/>
  <c r="J34" i="1"/>
  <c r="J33" i="1"/>
  <c r="K33" i="1"/>
  <c r="K34" i="1"/>
  <c r="I29" i="1"/>
  <c r="I1715" i="1" s="1"/>
  <c r="K29" i="1"/>
  <c r="K1715" i="1" s="1"/>
  <c r="H29" i="1"/>
  <c r="H1715" i="1" s="1"/>
  <c r="G29" i="1"/>
  <c r="G1715" i="1" s="1"/>
  <c r="J29" i="1"/>
  <c r="J1715" i="1" s="1"/>
  <c r="F29" i="1"/>
  <c r="F1715" i="1" s="1"/>
  <c r="F8" i="1"/>
  <c r="F1742" i="1" s="1"/>
  <c r="K8" i="1"/>
  <c r="K1742" i="1" s="1"/>
  <c r="H3" i="1"/>
  <c r="H1737" i="1" s="1"/>
  <c r="I3" i="1"/>
  <c r="I1737" i="1" s="1"/>
  <c r="J3" i="1"/>
  <c r="J1737" i="1" s="1"/>
  <c r="K3" i="1"/>
  <c r="K1737" i="1" s="1"/>
  <c r="F3" i="1"/>
  <c r="F1737" i="1" s="1"/>
  <c r="G3" i="1"/>
  <c r="G1737" i="1" s="1"/>
  <c r="J39" i="1" l="1"/>
  <c r="J1725" i="1" s="1"/>
  <c r="J1726" i="1"/>
  <c r="I55" i="1"/>
  <c r="F16" i="4" s="1"/>
  <c r="I1735" i="1"/>
  <c r="G55" i="1"/>
  <c r="D16" i="4" s="1"/>
  <c r="G1735" i="1"/>
  <c r="J55" i="1"/>
  <c r="G16" i="4" s="1"/>
  <c r="J1735" i="1"/>
  <c r="J1720" i="1"/>
  <c r="H39" i="1"/>
  <c r="H1725" i="1" s="1"/>
  <c r="H1726" i="1"/>
  <c r="F39" i="1"/>
  <c r="F1725" i="1" s="1"/>
  <c r="F1726" i="1"/>
  <c r="K55" i="1"/>
  <c r="H16" i="4" s="1"/>
  <c r="K1735" i="1"/>
  <c r="H55" i="1"/>
  <c r="E16" i="4" s="1"/>
  <c r="H1735" i="1"/>
  <c r="F55" i="1"/>
  <c r="C16" i="4" s="1"/>
  <c r="F1735" i="1"/>
  <c r="J1719" i="1"/>
  <c r="I39" i="1"/>
  <c r="I1725" i="1" s="1"/>
  <c r="I1726" i="1"/>
  <c r="G39" i="1"/>
  <c r="G1725" i="1" s="1"/>
  <c r="G1726" i="1"/>
  <c r="K1720" i="1"/>
  <c r="K39" i="1"/>
  <c r="K1725" i="1" s="1"/>
  <c r="K1726" i="1"/>
  <c r="K1719" i="1"/>
  <c r="G1655" i="1"/>
  <c r="H1648" i="1"/>
  <c r="I1648" i="1"/>
  <c r="G1648" i="1"/>
  <c r="F1655" i="1"/>
  <c r="I1655" i="1"/>
  <c r="H1655" i="1"/>
  <c r="F1648" i="1"/>
  <c r="J37" i="1"/>
  <c r="K37" i="1"/>
  <c r="K1650" i="1" s="1"/>
  <c r="E518" i="1"/>
  <c r="E488" i="1"/>
  <c r="E404" i="1"/>
  <c r="E491" i="1"/>
  <c r="E460" i="1"/>
  <c r="E478" i="1" s="1"/>
  <c r="E458" i="1"/>
  <c r="E477" i="1" s="1"/>
  <c r="A41" i="1"/>
  <c r="A42" i="1" s="1"/>
  <c r="A48" i="1" s="1"/>
  <c r="A29" i="1" s="1"/>
  <c r="A32" i="1" s="1"/>
  <c r="A35" i="1" s="1"/>
  <c r="A30" i="1" s="1"/>
  <c r="A31" i="1" s="1"/>
  <c r="A33" i="1" s="1"/>
  <c r="A34" i="1" s="1"/>
  <c r="A36" i="1" s="1"/>
  <c r="A37" i="1" s="1"/>
  <c r="A49" i="1" s="1"/>
  <c r="A50" i="1" s="1"/>
  <c r="A51" i="1" s="1"/>
  <c r="A52" i="1" s="1"/>
  <c r="A53" i="1" s="1"/>
  <c r="A55" i="1" s="1"/>
  <c r="A56" i="1" s="1"/>
  <c r="A57" i="1" s="1"/>
  <c r="A58" i="1" s="1"/>
  <c r="A59" i="1" s="1"/>
  <c r="C28" i="1"/>
  <c r="C39" i="1" s="1"/>
  <c r="B28" i="1"/>
  <c r="B39" i="1" s="1"/>
  <c r="G22" i="1"/>
  <c r="K22" i="1"/>
  <c r="F22" i="1"/>
  <c r="C32" i="1"/>
  <c r="C35" i="1" s="1"/>
  <c r="C30" i="1" s="1"/>
  <c r="C31" i="1" s="1"/>
  <c r="C33" i="1" s="1"/>
  <c r="C34" i="1" s="1"/>
  <c r="C36" i="1" s="1"/>
  <c r="C37" i="1" s="1"/>
  <c r="C40" i="1"/>
  <c r="B32" i="1"/>
  <c r="B35" i="1" s="1"/>
  <c r="B30" i="1" s="1"/>
  <c r="B31" i="1" s="1"/>
  <c r="B33" i="1" s="1"/>
  <c r="B34" i="1" s="1"/>
  <c r="B36" i="1" s="1"/>
  <c r="B37" i="1" s="1"/>
  <c r="B40" i="1"/>
  <c r="J22" i="1"/>
  <c r="I22" i="1"/>
  <c r="H22" i="1"/>
  <c r="J32" i="1"/>
  <c r="J1718" i="1" s="1"/>
  <c r="K32" i="1"/>
  <c r="K1718" i="1" s="1"/>
  <c r="J36" i="1"/>
  <c r="K36" i="1"/>
  <c r="J1656" i="1" l="1"/>
  <c r="J1412" i="1"/>
  <c r="J1560" i="1"/>
  <c r="J1607" i="1"/>
  <c r="J1328" i="1"/>
  <c r="J1181" i="1"/>
  <c r="K1656" i="1"/>
  <c r="K1560" i="1"/>
  <c r="K1607" i="1"/>
  <c r="K1412" i="1"/>
  <c r="J1554" i="1"/>
  <c r="J1601" i="1"/>
  <c r="J1651" i="1"/>
  <c r="J1510" i="1"/>
  <c r="J1159" i="1"/>
  <c r="K1601" i="1"/>
  <c r="K1651" i="1"/>
  <c r="K1554" i="1"/>
  <c r="K1510" i="1"/>
  <c r="K1159" i="1"/>
  <c r="K1509" i="1"/>
  <c r="K1553" i="1"/>
  <c r="K1552" i="1" s="1"/>
  <c r="K1551" i="1" s="1"/>
  <c r="K1158" i="1"/>
  <c r="K1600" i="1"/>
  <c r="J1509" i="1"/>
  <c r="J1553" i="1"/>
  <c r="J1158" i="1"/>
  <c r="K1182" i="1"/>
  <c r="K1561" i="1"/>
  <c r="K1608" i="1"/>
  <c r="K1329" i="1"/>
  <c r="K1657" i="1"/>
  <c r="K1413" i="1"/>
  <c r="J1329" i="1"/>
  <c r="J1182" i="1"/>
  <c r="J1561" i="1"/>
  <c r="J1608" i="1"/>
  <c r="J1657" i="1"/>
  <c r="J1413" i="1"/>
  <c r="K1181" i="1"/>
  <c r="J1600" i="1"/>
  <c r="K1328" i="1"/>
  <c r="J1650" i="1"/>
  <c r="K1723" i="1"/>
  <c r="H20" i="1"/>
  <c r="E15" i="4" s="1"/>
  <c r="H1708" i="1"/>
  <c r="I20" i="1"/>
  <c r="F15" i="4" s="1"/>
  <c r="I1708" i="1"/>
  <c r="J20" i="1"/>
  <c r="G15" i="4" s="1"/>
  <c r="J1708" i="1"/>
  <c r="F20" i="1"/>
  <c r="C15" i="4" s="1"/>
  <c r="F1708" i="1"/>
  <c r="K20" i="1"/>
  <c r="H15" i="4" s="1"/>
  <c r="K1708" i="1"/>
  <c r="J1723" i="1"/>
  <c r="G20" i="1"/>
  <c r="D15" i="4" s="1"/>
  <c r="G1708" i="1"/>
  <c r="J1722" i="1"/>
  <c r="K1722" i="1"/>
  <c r="I1654" i="1"/>
  <c r="F1654" i="1"/>
  <c r="G1654" i="1"/>
  <c r="H1654" i="1"/>
  <c r="K35" i="1"/>
  <c r="K1721" i="1" s="1"/>
  <c r="J35" i="1"/>
  <c r="J1721" i="1" s="1"/>
  <c r="C49" i="1"/>
  <c r="C50" i="1" s="1"/>
  <c r="C51" i="1" s="1"/>
  <c r="C52" i="1" s="1"/>
  <c r="C53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72" i="1" s="1"/>
  <c r="C73" i="1" s="1"/>
  <c r="C74" i="1" s="1"/>
  <c r="C76" i="1" s="1"/>
  <c r="C38" i="1"/>
  <c r="B49" i="1"/>
  <c r="B50" i="1" s="1"/>
  <c r="B51" i="1" s="1"/>
  <c r="B52" i="1" s="1"/>
  <c r="B53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38" i="1"/>
  <c r="E405" i="1"/>
  <c r="E492" i="1"/>
  <c r="A40" i="1"/>
  <c r="A60" i="1"/>
  <c r="A61" i="1" s="1"/>
  <c r="A62" i="1" s="1"/>
  <c r="A63" i="1" s="1"/>
  <c r="A64" i="1" s="1"/>
  <c r="A65" i="1" s="1"/>
  <c r="A66" i="1" s="1"/>
  <c r="A67" i="1" s="1"/>
  <c r="A72" i="1" s="1"/>
  <c r="A73" i="1" s="1"/>
  <c r="A74" i="1" s="1"/>
  <c r="A76" i="1" s="1"/>
  <c r="A68" i="1"/>
  <c r="A69" i="1" s="1"/>
  <c r="A70" i="1" s="1"/>
  <c r="A71" i="1" s="1"/>
  <c r="C43" i="1"/>
  <c r="C44" i="1" s="1"/>
  <c r="C45" i="1" s="1"/>
  <c r="C47" i="1" s="1"/>
  <c r="A54" i="1"/>
  <c r="A43" i="1"/>
  <c r="B43" i="1"/>
  <c r="J1157" i="1" l="1"/>
  <c r="J1156" i="1" s="1"/>
  <c r="J1599" i="1"/>
  <c r="J1598" i="1" s="1"/>
  <c r="K1649" i="1"/>
  <c r="K1648" i="1" s="1"/>
  <c r="K1599" i="1"/>
  <c r="K1598" i="1" s="1"/>
  <c r="K1606" i="1"/>
  <c r="K1605" i="1" s="1"/>
  <c r="K1655" i="1"/>
  <c r="J1655" i="1"/>
  <c r="J1606" i="1"/>
  <c r="J1605" i="1" s="1"/>
  <c r="J1649" i="1"/>
  <c r="K1157" i="1"/>
  <c r="K1156" i="1" s="1"/>
  <c r="J1552" i="1"/>
  <c r="J1551" i="1" s="1"/>
  <c r="K1327" i="1"/>
  <c r="K1326" i="1" s="1"/>
  <c r="J1411" i="1"/>
  <c r="J1410" i="1" s="1"/>
  <c r="K1411" i="1"/>
  <c r="K1410" i="1" s="1"/>
  <c r="K1559" i="1"/>
  <c r="K1558" i="1" s="1"/>
  <c r="J1508" i="1"/>
  <c r="J1507" i="1" s="1"/>
  <c r="J1559" i="1"/>
  <c r="J1558" i="1" s="1"/>
  <c r="K1508" i="1"/>
  <c r="K1507" i="1" s="1"/>
  <c r="J1180" i="1"/>
  <c r="J1179" i="1" s="1"/>
  <c r="J1327" i="1"/>
  <c r="J1326" i="1" s="1"/>
  <c r="K1180" i="1"/>
  <c r="K1179" i="1" s="1"/>
  <c r="C54" i="1"/>
  <c r="C68" i="1"/>
  <c r="C69" i="1" s="1"/>
  <c r="C70" i="1" s="1"/>
  <c r="C71" i="1" s="1"/>
  <c r="B54" i="1"/>
  <c r="B68" i="1"/>
  <c r="B69" i="1" s="1"/>
  <c r="B70" i="1" s="1"/>
  <c r="B71" i="1" s="1"/>
  <c r="E406" i="1"/>
  <c r="E502" i="1" s="1"/>
  <c r="E501" i="1"/>
  <c r="E493" i="1"/>
  <c r="C46" i="1"/>
  <c r="C75" i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B112" i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7" i="1" s="1"/>
  <c r="B168" i="1" s="1"/>
  <c r="B165" i="1" s="1"/>
  <c r="B96" i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A75" i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B76" i="1"/>
  <c r="A44" i="1"/>
  <c r="A46" i="1" s="1"/>
  <c r="B44" i="1"/>
  <c r="B45" i="1" s="1"/>
  <c r="B47" i="1" s="1"/>
  <c r="J1648" i="1" l="1"/>
  <c r="J1654" i="1"/>
  <c r="K1654" i="1"/>
  <c r="B169" i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66" i="1"/>
  <c r="A112" i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7" i="1" s="1"/>
  <c r="A168" i="1" s="1"/>
  <c r="A165" i="1" s="1"/>
  <c r="A96" i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C112" i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7" i="1" s="1"/>
  <c r="C168" i="1" s="1"/>
  <c r="C165" i="1" s="1"/>
  <c r="C96" i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B46" i="1"/>
  <c r="A45" i="1"/>
  <c r="A47" i="1" s="1"/>
  <c r="C169" i="1" l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66" i="1"/>
  <c r="A169" i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66" i="1"/>
  <c r="G550" i="1" l="1"/>
  <c r="F551" i="1"/>
  <c r="H550" i="1"/>
  <c r="K550" i="1"/>
  <c r="J551" i="1"/>
  <c r="F550" i="1"/>
  <c r="I550" i="1"/>
  <c r="J550" i="1"/>
  <c r="G551" i="1"/>
  <c r="H551" i="1"/>
  <c r="I551" i="1"/>
  <c r="K551" i="1"/>
  <c r="K204" i="1"/>
  <c r="J204" i="1"/>
  <c r="I204" i="1"/>
  <c r="H204" i="1"/>
  <c r="G204" i="1"/>
  <c r="F204" i="1"/>
  <c r="F229" i="1" l="1"/>
  <c r="F579" i="1"/>
  <c r="G229" i="1"/>
  <c r="G579" i="1"/>
  <c r="H229" i="1"/>
  <c r="H579" i="1"/>
  <c r="I229" i="1"/>
  <c r="I579" i="1"/>
  <c r="J229" i="1"/>
  <c r="J579" i="1"/>
  <c r="K229" i="1"/>
  <c r="K579" i="1"/>
  <c r="I227" i="1" l="1"/>
  <c r="I578" i="1"/>
  <c r="F227" i="1"/>
  <c r="F578" i="1"/>
  <c r="J227" i="1"/>
  <c r="J578" i="1"/>
  <c r="G227" i="1"/>
  <c r="G578" i="1"/>
  <c r="H227" i="1"/>
  <c r="H578" i="1"/>
  <c r="K227" i="1"/>
  <c r="K578" i="1"/>
  <c r="K794" i="1" l="1"/>
  <c r="J794" i="1"/>
  <c r="I794" i="1"/>
  <c r="H794" i="1"/>
  <c r="G794" i="1"/>
  <c r="F794" i="1"/>
  <c r="K206" i="1" l="1"/>
  <c r="J206" i="1"/>
  <c r="I206" i="1"/>
  <c r="H206" i="1"/>
  <c r="G206" i="1"/>
  <c r="F206" i="1"/>
  <c r="H436" i="1" l="1"/>
  <c r="F436" i="1"/>
  <c r="G436" i="1"/>
  <c r="I436" i="1"/>
  <c r="J531" i="1"/>
  <c r="K531" i="1"/>
  <c r="J436" i="1"/>
  <c r="K436" i="1"/>
  <c r="G223" i="1" l="1"/>
  <c r="G576" i="1"/>
  <c r="H223" i="1"/>
  <c r="H576" i="1"/>
  <c r="K223" i="1"/>
  <c r="K576" i="1"/>
  <c r="F223" i="1"/>
  <c r="F576" i="1"/>
  <c r="J223" i="1"/>
  <c r="J576" i="1"/>
  <c r="I223" i="1"/>
  <c r="I576" i="1"/>
  <c r="F562" i="1"/>
  <c r="J562" i="1"/>
  <c r="K562" i="1"/>
  <c r="G562" i="1"/>
  <c r="H562" i="1"/>
  <c r="I562" i="1"/>
  <c r="G531" i="1"/>
  <c r="I531" i="1"/>
  <c r="F531" i="1"/>
  <c r="H531" i="1"/>
  <c r="K792" i="1"/>
  <c r="J792" i="1"/>
  <c r="I792" i="1"/>
  <c r="H792" i="1"/>
  <c r="G792" i="1"/>
  <c r="G238" i="1" l="1"/>
  <c r="H238" i="1"/>
  <c r="I238" i="1"/>
  <c r="J238" i="1"/>
  <c r="K238" i="1"/>
  <c r="G195" i="1" l="1"/>
  <c r="K195" i="1"/>
  <c r="H195" i="1"/>
  <c r="I195" i="1"/>
  <c r="J195" i="1"/>
  <c r="F195" i="1"/>
  <c r="F194" i="1"/>
  <c r="F191" i="1" s="1"/>
  <c r="F101" i="1"/>
  <c r="F329" i="1" s="1"/>
  <c r="F345" i="1" s="1"/>
  <c r="F424" i="1" s="1"/>
  <c r="F421" i="1" s="1"/>
  <c r="H194" i="1"/>
  <c r="H191" i="1" s="1"/>
  <c r="H101" i="1"/>
  <c r="H329" i="1" s="1"/>
  <c r="H345" i="1" s="1"/>
  <c r="H424" i="1" s="1"/>
  <c r="H421" i="1" s="1"/>
  <c r="G194" i="1"/>
  <c r="G191" i="1" s="1"/>
  <c r="G101" i="1"/>
  <c r="G329" i="1" s="1"/>
  <c r="G345" i="1" s="1"/>
  <c r="G424" i="1" s="1"/>
  <c r="G421" i="1" s="1"/>
  <c r="I194" i="1"/>
  <c r="I191" i="1" s="1"/>
  <c r="I101" i="1"/>
  <c r="I329" i="1" s="1"/>
  <c r="I345" i="1" s="1"/>
  <c r="I424" i="1" s="1"/>
  <c r="I421" i="1" s="1"/>
  <c r="K194" i="1"/>
  <c r="K191" i="1" s="1"/>
  <c r="K101" i="1"/>
  <c r="K329" i="1" s="1"/>
  <c r="K345" i="1" s="1"/>
  <c r="K424" i="1" s="1"/>
  <c r="K421" i="1" s="1"/>
  <c r="J194" i="1"/>
  <c r="J191" i="1" s="1"/>
  <c r="J101" i="1"/>
  <c r="J329" i="1" s="1"/>
  <c r="J345" i="1" s="1"/>
  <c r="J424" i="1" s="1"/>
  <c r="J421" i="1" s="1"/>
  <c r="J538" i="1" l="1"/>
  <c r="F538" i="1"/>
  <c r="H538" i="1"/>
  <c r="K538" i="1"/>
  <c r="G538" i="1"/>
  <c r="I538" i="1"/>
  <c r="F537" i="1"/>
  <c r="F536" i="1"/>
  <c r="J536" i="1"/>
  <c r="G536" i="1"/>
  <c r="H536" i="1"/>
  <c r="I536" i="1"/>
  <c r="K536" i="1"/>
  <c r="G267" i="1"/>
  <c r="G256" i="1" s="1"/>
  <c r="G108" i="1" l="1"/>
  <c r="G336" i="1" s="1"/>
  <c r="G352" i="1" s="1"/>
  <c r="G497" i="1" s="1"/>
  <c r="G486" i="1" s="1"/>
  <c r="G106" i="1"/>
  <c r="G334" i="1" s="1"/>
  <c r="G350" i="1" s="1"/>
  <c r="G495" i="1" s="1"/>
  <c r="G484" i="1" s="1"/>
  <c r="G265" i="1"/>
  <c r="G254" i="1" s="1"/>
  <c r="K106" i="1"/>
  <c r="K334" i="1" s="1"/>
  <c r="K350" i="1" s="1"/>
  <c r="K495" i="1" s="1"/>
  <c r="K484" i="1" s="1"/>
  <c r="K265" i="1"/>
  <c r="K254" i="1" s="1"/>
  <c r="F107" i="1"/>
  <c r="F335" i="1" s="1"/>
  <c r="F351" i="1" s="1"/>
  <c r="F496" i="1" s="1"/>
  <c r="F485" i="1" s="1"/>
  <c r="F266" i="1"/>
  <c r="F255" i="1" s="1"/>
  <c r="F106" i="1"/>
  <c r="F334" i="1" s="1"/>
  <c r="F350" i="1" s="1"/>
  <c r="F495" i="1" s="1"/>
  <c r="F484" i="1" s="1"/>
  <c r="F265" i="1"/>
  <c r="F254" i="1" s="1"/>
  <c r="J108" i="1"/>
  <c r="J336" i="1" s="1"/>
  <c r="J352" i="1" s="1"/>
  <c r="J497" i="1" s="1"/>
  <c r="J486" i="1" s="1"/>
  <c r="J267" i="1"/>
  <c r="J256" i="1" s="1"/>
  <c r="J106" i="1"/>
  <c r="J334" i="1" s="1"/>
  <c r="J350" i="1" s="1"/>
  <c r="J495" i="1" s="1"/>
  <c r="J484" i="1" s="1"/>
  <c r="J265" i="1"/>
  <c r="J254" i="1" s="1"/>
  <c r="F108" i="1"/>
  <c r="F336" i="1" s="1"/>
  <c r="F352" i="1" s="1"/>
  <c r="F497" i="1" s="1"/>
  <c r="F486" i="1" s="1"/>
  <c r="F267" i="1"/>
  <c r="F256" i="1" s="1"/>
  <c r="I106" i="1"/>
  <c r="I334" i="1" s="1"/>
  <c r="I350" i="1" s="1"/>
  <c r="I495" i="1" s="1"/>
  <c r="I484" i="1" s="1"/>
  <c r="I265" i="1"/>
  <c r="I254" i="1" s="1"/>
  <c r="H108" i="1"/>
  <c r="H336" i="1" s="1"/>
  <c r="H352" i="1" s="1"/>
  <c r="H497" i="1" s="1"/>
  <c r="H486" i="1" s="1"/>
  <c r="H267" i="1"/>
  <c r="H256" i="1" s="1"/>
  <c r="H106" i="1"/>
  <c r="H334" i="1" s="1"/>
  <c r="H350" i="1" s="1"/>
  <c r="H495" i="1" s="1"/>
  <c r="H484" i="1" s="1"/>
  <c r="H265" i="1"/>
  <c r="H254" i="1" s="1"/>
  <c r="K108" i="1"/>
  <c r="K336" i="1" s="1"/>
  <c r="K352" i="1" s="1"/>
  <c r="K497" i="1" s="1"/>
  <c r="K486" i="1" s="1"/>
  <c r="K267" i="1"/>
  <c r="K256" i="1" s="1"/>
  <c r="I108" i="1"/>
  <c r="I336" i="1" s="1"/>
  <c r="I352" i="1" s="1"/>
  <c r="I497" i="1" s="1"/>
  <c r="I486" i="1" s="1"/>
  <c r="I267" i="1"/>
  <c r="I256" i="1" s="1"/>
  <c r="K549" i="1" l="1"/>
  <c r="J549" i="1"/>
  <c r="I549" i="1"/>
  <c r="H549" i="1"/>
  <c r="G549" i="1"/>
  <c r="F549" i="1"/>
  <c r="F367" i="1" l="1"/>
  <c r="G367" i="1"/>
  <c r="H367" i="1"/>
  <c r="I367" i="1"/>
  <c r="J367" i="1"/>
  <c r="K367" i="1"/>
  <c r="K430" i="1" l="1"/>
  <c r="K433" i="1" s="1"/>
  <c r="J545" i="1"/>
  <c r="I430" i="1"/>
  <c r="I433" i="1" s="1"/>
  <c r="H545" i="1"/>
  <c r="G430" i="1"/>
  <c r="G433" i="1" s="1"/>
  <c r="F545" i="1"/>
  <c r="I200" i="1"/>
  <c r="I203" i="1" s="1"/>
  <c r="J146" i="1"/>
  <c r="J374" i="1" s="1"/>
  <c r="I146" i="1"/>
  <c r="I374" i="1" s="1"/>
  <c r="H200" i="1"/>
  <c r="H203" i="1" s="1"/>
  <c r="H146" i="1"/>
  <c r="H374" i="1" s="1"/>
  <c r="G200" i="1"/>
  <c r="G203" i="1" s="1"/>
  <c r="G146" i="1"/>
  <c r="G374" i="1" s="1"/>
  <c r="F200" i="1"/>
  <c r="F203" i="1" s="1"/>
  <c r="F146" i="1"/>
  <c r="F374" i="1" s="1"/>
  <c r="K200" i="1"/>
  <c r="K203" i="1" s="1"/>
  <c r="K146" i="1"/>
  <c r="K374" i="1" s="1"/>
  <c r="J200" i="1"/>
  <c r="J203" i="1" s="1"/>
  <c r="K545" i="1" l="1"/>
  <c r="H430" i="1"/>
  <c r="H433" i="1" s="1"/>
  <c r="F430" i="1"/>
  <c r="F433" i="1" s="1"/>
  <c r="J430" i="1"/>
  <c r="J433" i="1" s="1"/>
  <c r="I545" i="1"/>
  <c r="G545" i="1"/>
  <c r="J425" i="1"/>
  <c r="H425" i="1"/>
  <c r="G425" i="1"/>
  <c r="K425" i="1"/>
  <c r="F425" i="1"/>
  <c r="I425" i="1"/>
  <c r="F434" i="1"/>
  <c r="K434" i="1"/>
  <c r="G434" i="1"/>
  <c r="I434" i="1"/>
  <c r="H434" i="1"/>
  <c r="J434" i="1"/>
  <c r="J544" i="1" l="1"/>
  <c r="K544" i="1"/>
  <c r="H544" i="1"/>
  <c r="H548" i="1"/>
  <c r="F548" i="1"/>
  <c r="G548" i="1"/>
  <c r="I548" i="1"/>
  <c r="K548" i="1"/>
  <c r="J548" i="1"/>
  <c r="G544" i="1"/>
  <c r="I544" i="1"/>
  <c r="F544" i="1"/>
  <c r="K145" i="1"/>
  <c r="K366" i="1"/>
  <c r="K429" i="1" s="1"/>
  <c r="J145" i="1"/>
  <c r="J366" i="1"/>
  <c r="J429" i="1" s="1"/>
  <c r="I199" i="1"/>
  <c r="I202" i="1" s="1"/>
  <c r="I201" i="1" s="1"/>
  <c r="I366" i="1"/>
  <c r="I429" i="1" s="1"/>
  <c r="H145" i="1"/>
  <c r="H366" i="1"/>
  <c r="H429" i="1" s="1"/>
  <c r="F199" i="1"/>
  <c r="F202" i="1" s="1"/>
  <c r="F201" i="1" s="1"/>
  <c r="F366" i="1"/>
  <c r="F429" i="1" s="1"/>
  <c r="G199" i="1"/>
  <c r="G198" i="1" s="1"/>
  <c r="G366" i="1"/>
  <c r="G429" i="1" s="1"/>
  <c r="G145" i="1"/>
  <c r="F145" i="1"/>
  <c r="K199" i="1"/>
  <c r="K202" i="1" s="1"/>
  <c r="K201" i="1" s="1"/>
  <c r="J199" i="1"/>
  <c r="J202" i="1" s="1"/>
  <c r="J201" i="1" s="1"/>
  <c r="I145" i="1"/>
  <c r="H199" i="1"/>
  <c r="H202" i="1" s="1"/>
  <c r="H201" i="1" s="1"/>
  <c r="F198" i="1" l="1"/>
  <c r="F428" i="1"/>
  <c r="F432" i="1"/>
  <c r="F431" i="1" s="1"/>
  <c r="H428" i="1"/>
  <c r="H432" i="1"/>
  <c r="H431" i="1" s="1"/>
  <c r="I428" i="1"/>
  <c r="I432" i="1"/>
  <c r="I431" i="1" s="1"/>
  <c r="K428" i="1"/>
  <c r="K432" i="1"/>
  <c r="K431" i="1" s="1"/>
  <c r="G428" i="1"/>
  <c r="G432" i="1"/>
  <c r="G431" i="1" s="1"/>
  <c r="J428" i="1"/>
  <c r="J432" i="1"/>
  <c r="J431" i="1" s="1"/>
  <c r="J373" i="1"/>
  <c r="H373" i="1"/>
  <c r="I198" i="1"/>
  <c r="F373" i="1"/>
  <c r="K198" i="1"/>
  <c r="G202" i="1"/>
  <c r="G201" i="1" s="1"/>
  <c r="G373" i="1"/>
  <c r="I373" i="1"/>
  <c r="J198" i="1"/>
  <c r="K373" i="1"/>
  <c r="H198" i="1"/>
  <c r="K564" i="1" l="1"/>
  <c r="F564" i="1"/>
  <c r="H564" i="1"/>
  <c r="J564" i="1"/>
  <c r="G564" i="1"/>
  <c r="I564" i="1"/>
  <c r="G541" i="1"/>
  <c r="J541" i="1"/>
  <c r="K541" i="1"/>
  <c r="F541" i="1"/>
  <c r="H541" i="1"/>
  <c r="I541" i="1"/>
  <c r="G534" i="1"/>
  <c r="K534" i="1"/>
  <c r="I534" i="1"/>
  <c r="H534" i="1"/>
  <c r="J534" i="1"/>
  <c r="F534" i="1"/>
  <c r="F263" i="1"/>
  <c r="F252" i="1" s="1"/>
  <c r="G263" i="1"/>
  <c r="G252" i="1" s="1"/>
  <c r="H263" i="1"/>
  <c r="H252" i="1" s="1"/>
  <c r="I263" i="1"/>
  <c r="I252" i="1" s="1"/>
  <c r="K263" i="1"/>
  <c r="K252" i="1" s="1"/>
  <c r="J263" i="1"/>
  <c r="J252" i="1" s="1"/>
  <c r="F516" i="1" l="1"/>
  <c r="K395" i="1"/>
  <c r="K516" i="1"/>
  <c r="G395" i="1"/>
  <c r="G516" i="1"/>
  <c r="J395" i="1"/>
  <c r="J516" i="1"/>
  <c r="H395" i="1"/>
  <c r="H516" i="1"/>
  <c r="I395" i="1"/>
  <c r="I516" i="1"/>
  <c r="G111" i="1"/>
  <c r="G339" i="1" s="1"/>
  <c r="G355" i="1" s="1"/>
  <c r="G500" i="1" s="1"/>
  <c r="G489" i="1" s="1"/>
  <c r="G270" i="1"/>
  <c r="G259" i="1" s="1"/>
  <c r="I111" i="1"/>
  <c r="I339" i="1" s="1"/>
  <c r="I355" i="1" s="1"/>
  <c r="I500" i="1" s="1"/>
  <c r="I489" i="1" s="1"/>
  <c r="I270" i="1"/>
  <c r="I259" i="1" s="1"/>
  <c r="F111" i="1"/>
  <c r="F339" i="1" s="1"/>
  <c r="F355" i="1" s="1"/>
  <c r="F500" i="1" s="1"/>
  <c r="F489" i="1" s="1"/>
  <c r="F270" i="1"/>
  <c r="F259" i="1" s="1"/>
  <c r="K111" i="1"/>
  <c r="K339" i="1" s="1"/>
  <c r="K355" i="1" s="1"/>
  <c r="K500" i="1" s="1"/>
  <c r="K489" i="1" s="1"/>
  <c r="K270" i="1"/>
  <c r="K259" i="1" s="1"/>
  <c r="J111" i="1"/>
  <c r="J339" i="1" s="1"/>
  <c r="J355" i="1" s="1"/>
  <c r="J500" i="1" s="1"/>
  <c r="J489" i="1" s="1"/>
  <c r="J270" i="1"/>
  <c r="J259" i="1" s="1"/>
  <c r="H111" i="1"/>
  <c r="H339" i="1" s="1"/>
  <c r="H355" i="1" s="1"/>
  <c r="H500" i="1" s="1"/>
  <c r="H489" i="1" s="1"/>
  <c r="H270" i="1"/>
  <c r="H259" i="1" s="1"/>
  <c r="I104" i="1"/>
  <c r="I332" i="1" s="1"/>
  <c r="I348" i="1" s="1"/>
  <c r="I493" i="1" s="1"/>
  <c r="I482" i="1" s="1"/>
  <c r="G104" i="1"/>
  <c r="G332" i="1" s="1"/>
  <c r="G348" i="1" s="1"/>
  <c r="G493" i="1" s="1"/>
  <c r="G482" i="1" s="1"/>
  <c r="H104" i="1"/>
  <c r="H332" i="1" s="1"/>
  <c r="H348" i="1" s="1"/>
  <c r="H493" i="1" s="1"/>
  <c r="H482" i="1" s="1"/>
  <c r="J104" i="1"/>
  <c r="J332" i="1" s="1"/>
  <c r="J348" i="1" s="1"/>
  <c r="J493" i="1" s="1"/>
  <c r="J482" i="1" s="1"/>
  <c r="K104" i="1"/>
  <c r="K332" i="1" s="1"/>
  <c r="K348" i="1" s="1"/>
  <c r="K493" i="1" s="1"/>
  <c r="K482" i="1" s="1"/>
  <c r="F104" i="1"/>
  <c r="F332" i="1" s="1"/>
  <c r="F348" i="1" s="1"/>
  <c r="F493" i="1" s="1"/>
  <c r="F482" i="1" s="1"/>
  <c r="F563" i="1" l="1"/>
  <c r="H563" i="1"/>
  <c r="K563" i="1"/>
  <c r="J563" i="1"/>
  <c r="G563" i="1"/>
  <c r="I563" i="1"/>
  <c r="I365" i="1" l="1"/>
  <c r="I543" i="1"/>
  <c r="F365" i="1"/>
  <c r="F543" i="1"/>
  <c r="H144" i="1"/>
  <c r="H543" i="1"/>
  <c r="J365" i="1"/>
  <c r="J543" i="1"/>
  <c r="G144" i="1"/>
  <c r="G543" i="1"/>
  <c r="K144" i="1"/>
  <c r="K543" i="1"/>
  <c r="F547" i="1"/>
  <c r="F147" i="1"/>
  <c r="K147" i="1"/>
  <c r="J147" i="1"/>
  <c r="I147" i="1"/>
  <c r="H147" i="1"/>
  <c r="G147" i="1"/>
  <c r="K542" i="1"/>
  <c r="J542" i="1"/>
  <c r="I542" i="1"/>
  <c r="H542" i="1"/>
  <c r="G542" i="1"/>
  <c r="F542" i="1"/>
  <c r="I144" i="1" l="1"/>
  <c r="I372" i="1" s="1"/>
  <c r="H365" i="1"/>
  <c r="H372" i="1" s="1"/>
  <c r="F144" i="1"/>
  <c r="F372" i="1" s="1"/>
  <c r="J144" i="1"/>
  <c r="J372" i="1" s="1"/>
  <c r="G365" i="1"/>
  <c r="G372" i="1" s="1"/>
  <c r="K365" i="1"/>
  <c r="K372" i="1" s="1"/>
  <c r="G148" i="1"/>
  <c r="G547" i="1"/>
  <c r="I148" i="1"/>
  <c r="I547" i="1"/>
  <c r="F148" i="1"/>
  <c r="K148" i="1"/>
  <c r="K547" i="1"/>
  <c r="H148" i="1"/>
  <c r="H547" i="1"/>
  <c r="J148" i="1"/>
  <c r="J547" i="1"/>
  <c r="F128" i="1"/>
  <c r="G128" i="1"/>
  <c r="H128" i="1"/>
  <c r="I128" i="1"/>
  <c r="J128" i="1"/>
  <c r="K128" i="1"/>
  <c r="J376" i="1" l="1"/>
  <c r="J369" i="1"/>
  <c r="H376" i="1"/>
  <c r="H369" i="1"/>
  <c r="K376" i="1"/>
  <c r="K369" i="1"/>
  <c r="F376" i="1"/>
  <c r="F369" i="1"/>
  <c r="I376" i="1"/>
  <c r="I369" i="1"/>
  <c r="G376" i="1"/>
  <c r="G369" i="1"/>
  <c r="K135" i="1"/>
  <c r="K364" i="1"/>
  <c r="J135" i="1"/>
  <c r="J364" i="1"/>
  <c r="I135" i="1"/>
  <c r="I364" i="1"/>
  <c r="H135" i="1"/>
  <c r="H364" i="1"/>
  <c r="G135" i="1"/>
  <c r="G364" i="1"/>
  <c r="F135" i="1"/>
  <c r="F364" i="1"/>
  <c r="K143" i="1"/>
  <c r="K142" i="1" s="1"/>
  <c r="J143" i="1"/>
  <c r="J142" i="1" s="1"/>
  <c r="I143" i="1"/>
  <c r="I142" i="1" s="1"/>
  <c r="H143" i="1"/>
  <c r="H142" i="1" s="1"/>
  <c r="G143" i="1"/>
  <c r="G142" i="1" s="1"/>
  <c r="F143" i="1"/>
  <c r="F142" i="1" s="1"/>
  <c r="G363" i="1" l="1"/>
  <c r="G371" i="1"/>
  <c r="I371" i="1"/>
  <c r="I363" i="1"/>
  <c r="K371" i="1"/>
  <c r="K363" i="1"/>
  <c r="F363" i="1"/>
  <c r="F371" i="1"/>
  <c r="H371" i="1"/>
  <c r="H363" i="1"/>
  <c r="J371" i="1"/>
  <c r="J363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566" i="1"/>
  <c r="J566" i="1"/>
  <c r="I566" i="1"/>
  <c r="H566" i="1"/>
  <c r="G566" i="1"/>
  <c r="K565" i="1"/>
  <c r="J565" i="1"/>
  <c r="I565" i="1"/>
  <c r="H565" i="1"/>
  <c r="G565" i="1"/>
  <c r="K157" i="1"/>
  <c r="J157" i="1"/>
  <c r="I157" i="1"/>
  <c r="H157" i="1"/>
  <c r="G157" i="1"/>
  <c r="J529" i="1"/>
  <c r="I529" i="1"/>
  <c r="H529" i="1"/>
  <c r="G529" i="1"/>
  <c r="K528" i="1"/>
  <c r="J528" i="1"/>
  <c r="I528" i="1"/>
  <c r="H528" i="1"/>
  <c r="G528" i="1"/>
  <c r="K527" i="1"/>
  <c r="J527" i="1"/>
  <c r="I527" i="1"/>
  <c r="H527" i="1"/>
  <c r="G527" i="1"/>
  <c r="K522" i="1"/>
  <c r="J522" i="1"/>
  <c r="I522" i="1"/>
  <c r="H522" i="1"/>
  <c r="G522" i="1"/>
  <c r="K521" i="1"/>
  <c r="J521" i="1"/>
  <c r="I521" i="1"/>
  <c r="H521" i="1"/>
  <c r="G521" i="1"/>
  <c r="F157" i="1"/>
  <c r="F523" i="1"/>
  <c r="F522" i="1"/>
  <c r="F521" i="1"/>
  <c r="K554" i="1" l="1"/>
  <c r="I554" i="1"/>
  <c r="G554" i="1"/>
  <c r="H554" i="1"/>
  <c r="J554" i="1"/>
  <c r="I553" i="1"/>
  <c r="G553" i="1"/>
  <c r="J553" i="1"/>
  <c r="H553" i="1"/>
  <c r="K553" i="1"/>
  <c r="I540" i="1"/>
  <c r="G540" i="1"/>
  <c r="H540" i="1"/>
  <c r="K540" i="1"/>
  <c r="J540" i="1"/>
  <c r="K498" i="1"/>
  <c r="J498" i="1"/>
  <c r="I498" i="1"/>
  <c r="G498" i="1"/>
  <c r="H498" i="1"/>
  <c r="G537" i="1"/>
  <c r="I537" i="1"/>
  <c r="K537" i="1"/>
  <c r="H537" i="1"/>
  <c r="J537" i="1"/>
  <c r="J535" i="1"/>
  <c r="I535" i="1"/>
  <c r="K535" i="1"/>
  <c r="G535" i="1"/>
  <c r="H535" i="1"/>
  <c r="J62" i="1"/>
  <c r="J520" i="1"/>
  <c r="G62" i="1"/>
  <c r="G520" i="1"/>
  <c r="I62" i="1"/>
  <c r="I520" i="1"/>
  <c r="H62" i="1"/>
  <c r="H520" i="1"/>
  <c r="I377" i="1"/>
  <c r="H377" i="1"/>
  <c r="J377" i="1"/>
  <c r="G377" i="1"/>
  <c r="K377" i="1"/>
  <c r="G167" i="1"/>
  <c r="G166" i="1"/>
  <c r="G561" i="1" s="1"/>
  <c r="I167" i="1"/>
  <c r="I166" i="1"/>
  <c r="I561" i="1" s="1"/>
  <c r="H167" i="1"/>
  <c r="H166" i="1"/>
  <c r="H561" i="1" s="1"/>
  <c r="J167" i="1"/>
  <c r="J166" i="1"/>
  <c r="J561" i="1" s="1"/>
  <c r="K167" i="1"/>
  <c r="K166" i="1"/>
  <c r="K561" i="1" s="1"/>
  <c r="H98" i="1"/>
  <c r="H326" i="1" s="1"/>
  <c r="H342" i="1" s="1"/>
  <c r="J98" i="1"/>
  <c r="J326" i="1" s="1"/>
  <c r="J342" i="1" s="1"/>
  <c r="G98" i="1"/>
  <c r="G326" i="1" s="1"/>
  <c r="G342" i="1" s="1"/>
  <c r="H99" i="1"/>
  <c r="H327" i="1" s="1"/>
  <c r="H343" i="1" s="1"/>
  <c r="G125" i="1"/>
  <c r="G268" i="1" s="1"/>
  <c r="G257" i="1" s="1"/>
  <c r="I98" i="1"/>
  <c r="I326" i="1" s="1"/>
  <c r="I342" i="1" s="1"/>
  <c r="K98" i="1"/>
  <c r="K326" i="1" s="1"/>
  <c r="K342" i="1" s="1"/>
  <c r="G99" i="1"/>
  <c r="G327" i="1" s="1"/>
  <c r="G343" i="1" s="1"/>
  <c r="H125" i="1"/>
  <c r="I99" i="1"/>
  <c r="I327" i="1" s="1"/>
  <c r="I343" i="1" s="1"/>
  <c r="I100" i="1"/>
  <c r="I125" i="1"/>
  <c r="J99" i="1"/>
  <c r="J327" i="1" s="1"/>
  <c r="J343" i="1" s="1"/>
  <c r="J100" i="1"/>
  <c r="J125" i="1"/>
  <c r="G100" i="1"/>
  <c r="H100" i="1"/>
  <c r="K100" i="1"/>
  <c r="K125" i="1"/>
  <c r="H72" i="1"/>
  <c r="I72" i="1"/>
  <c r="G72" i="1"/>
  <c r="K72" i="1"/>
  <c r="G149" i="1"/>
  <c r="I171" i="1"/>
  <c r="F64" i="1"/>
  <c r="H97" i="1"/>
  <c r="H325" i="1" s="1"/>
  <c r="H341" i="1" s="1"/>
  <c r="H149" i="1"/>
  <c r="G97" i="1"/>
  <c r="G325" i="1" s="1"/>
  <c r="G341" i="1" s="1"/>
  <c r="I97" i="1"/>
  <c r="I325" i="1" s="1"/>
  <c r="I341" i="1" s="1"/>
  <c r="I149" i="1"/>
  <c r="J72" i="1"/>
  <c r="J97" i="1"/>
  <c r="J325" i="1" s="1"/>
  <c r="J341" i="1" s="1"/>
  <c r="J149" i="1"/>
  <c r="K97" i="1"/>
  <c r="K325" i="1" s="1"/>
  <c r="K341" i="1" s="1"/>
  <c r="K149" i="1"/>
  <c r="G159" i="1"/>
  <c r="G171" i="1"/>
  <c r="F159" i="1"/>
  <c r="H159" i="1"/>
  <c r="H171" i="1"/>
  <c r="I159" i="1"/>
  <c r="J159" i="1"/>
  <c r="J171" i="1"/>
  <c r="K159" i="1"/>
  <c r="K171" i="1"/>
  <c r="K529" i="1"/>
  <c r="F12" i="1"/>
  <c r="F1746" i="1" s="1"/>
  <c r="F1706" i="1" s="1"/>
  <c r="K575" i="1"/>
  <c r="J575" i="1"/>
  <c r="I575" i="1"/>
  <c r="H575" i="1"/>
  <c r="G575" i="1"/>
  <c r="F575" i="1"/>
  <c r="K213" i="1"/>
  <c r="J213" i="1"/>
  <c r="I213" i="1"/>
  <c r="G213" i="1"/>
  <c r="F213" i="1"/>
  <c r="K186" i="1"/>
  <c r="J186" i="1"/>
  <c r="I186" i="1"/>
  <c r="H186" i="1"/>
  <c r="G186" i="1"/>
  <c r="F186" i="1"/>
  <c r="F571" i="1"/>
  <c r="F570" i="1"/>
  <c r="F569" i="1"/>
  <c r="F568" i="1"/>
  <c r="F567" i="1"/>
  <c r="F566" i="1"/>
  <c r="F565" i="1"/>
  <c r="F529" i="1"/>
  <c r="F528" i="1"/>
  <c r="F527" i="1"/>
  <c r="H573" i="1" l="1"/>
  <c r="H213" i="1"/>
  <c r="K795" i="1"/>
  <c r="F791" i="1"/>
  <c r="G791" i="1"/>
  <c r="J791" i="1"/>
  <c r="F375" i="1"/>
  <c r="F370" i="1" s="1"/>
  <c r="F795" i="1"/>
  <c r="H791" i="1"/>
  <c r="K791" i="1"/>
  <c r="G508" i="1"/>
  <c r="G507" i="1" s="1"/>
  <c r="G795" i="1"/>
  <c r="H501" i="1"/>
  <c r="H795" i="1"/>
  <c r="I791" i="1"/>
  <c r="I795" i="1"/>
  <c r="J508" i="1"/>
  <c r="J507" i="1" s="1"/>
  <c r="J795" i="1"/>
  <c r="G539" i="1"/>
  <c r="F215" i="1"/>
  <c r="F574" i="1"/>
  <c r="J510" i="1"/>
  <c r="I510" i="1"/>
  <c r="H510" i="1"/>
  <c r="F554" i="1"/>
  <c r="K510" i="1"/>
  <c r="G510" i="1"/>
  <c r="F553" i="1"/>
  <c r="I552" i="1"/>
  <c r="J552" i="1"/>
  <c r="K552" i="1"/>
  <c r="F510" i="1"/>
  <c r="H552" i="1"/>
  <c r="G552" i="1"/>
  <c r="K501" i="1"/>
  <c r="J539" i="1"/>
  <c r="K539" i="1"/>
  <c r="H539" i="1"/>
  <c r="I539" i="1"/>
  <c r="F540" i="1"/>
  <c r="F498" i="1"/>
  <c r="F535" i="1"/>
  <c r="K533" i="1"/>
  <c r="I533" i="1"/>
  <c r="K532" i="1"/>
  <c r="J533" i="1"/>
  <c r="I468" i="1"/>
  <c r="H532" i="1"/>
  <c r="G533" i="1"/>
  <c r="H533" i="1"/>
  <c r="I64" i="1"/>
  <c r="I523" i="1"/>
  <c r="F62" i="1"/>
  <c r="F520" i="1"/>
  <c r="J64" i="1"/>
  <c r="J523" i="1"/>
  <c r="K62" i="1"/>
  <c r="K520" i="1"/>
  <c r="K64" i="1"/>
  <c r="K523" i="1"/>
  <c r="H64" i="1"/>
  <c r="H523" i="1"/>
  <c r="G64" i="1"/>
  <c r="G523" i="1"/>
  <c r="F377" i="1"/>
  <c r="J232" i="1"/>
  <c r="K232" i="1"/>
  <c r="G232" i="1"/>
  <c r="H232" i="1"/>
  <c r="F182" i="1"/>
  <c r="I232" i="1"/>
  <c r="F232" i="1"/>
  <c r="G109" i="1"/>
  <c r="K356" i="1"/>
  <c r="K368" i="1"/>
  <c r="K375" i="1"/>
  <c r="K370" i="1" s="1"/>
  <c r="F368" i="1"/>
  <c r="J356" i="1"/>
  <c r="J368" i="1"/>
  <c r="J375" i="1"/>
  <c r="J370" i="1" s="1"/>
  <c r="F278" i="1"/>
  <c r="F277" i="1" s="1"/>
  <c r="F271" i="1"/>
  <c r="H278" i="1"/>
  <c r="H277" i="1" s="1"/>
  <c r="H271" i="1"/>
  <c r="I278" i="1"/>
  <c r="I277" i="1" s="1"/>
  <c r="I271" i="1"/>
  <c r="J278" i="1"/>
  <c r="J277" i="1" s="1"/>
  <c r="J271" i="1"/>
  <c r="K278" i="1"/>
  <c r="K277" i="1" s="1"/>
  <c r="K271" i="1"/>
  <c r="G278" i="1"/>
  <c r="G277" i="1" s="1"/>
  <c r="G271" i="1"/>
  <c r="K110" i="1"/>
  <c r="K269" i="1"/>
  <c r="K258" i="1" s="1"/>
  <c r="I110" i="1"/>
  <c r="I269" i="1"/>
  <c r="I258" i="1" s="1"/>
  <c r="I109" i="1"/>
  <c r="I268" i="1"/>
  <c r="I257" i="1" s="1"/>
  <c r="H110" i="1"/>
  <c r="H269" i="1"/>
  <c r="H258" i="1" s="1"/>
  <c r="G110" i="1"/>
  <c r="G269" i="1"/>
  <c r="G258" i="1" s="1"/>
  <c r="H109" i="1"/>
  <c r="H268" i="1"/>
  <c r="H257" i="1" s="1"/>
  <c r="J110" i="1"/>
  <c r="J269" i="1"/>
  <c r="J258" i="1" s="1"/>
  <c r="K109" i="1"/>
  <c r="K268" i="1"/>
  <c r="K257" i="1" s="1"/>
  <c r="J109" i="1"/>
  <c r="J268" i="1"/>
  <c r="J257" i="1" s="1"/>
  <c r="K107" i="1"/>
  <c r="K335" i="1" s="1"/>
  <c r="K351" i="1" s="1"/>
  <c r="K496" i="1" s="1"/>
  <c r="K485" i="1" s="1"/>
  <c r="K266" i="1"/>
  <c r="K255" i="1" s="1"/>
  <c r="I107" i="1"/>
  <c r="I335" i="1" s="1"/>
  <c r="I351" i="1" s="1"/>
  <c r="I496" i="1" s="1"/>
  <c r="I485" i="1" s="1"/>
  <c r="I266" i="1"/>
  <c r="I255" i="1" s="1"/>
  <c r="I105" i="1"/>
  <c r="I333" i="1" s="1"/>
  <c r="I349" i="1" s="1"/>
  <c r="I494" i="1" s="1"/>
  <c r="I483" i="1" s="1"/>
  <c r="I264" i="1"/>
  <c r="I253" i="1" s="1"/>
  <c r="G107" i="1"/>
  <c r="G335" i="1" s="1"/>
  <c r="G351" i="1" s="1"/>
  <c r="G496" i="1" s="1"/>
  <c r="G485" i="1" s="1"/>
  <c r="G266" i="1"/>
  <c r="G255" i="1" s="1"/>
  <c r="J107" i="1"/>
  <c r="J335" i="1" s="1"/>
  <c r="J351" i="1" s="1"/>
  <c r="J496" i="1" s="1"/>
  <c r="J485" i="1" s="1"/>
  <c r="J266" i="1"/>
  <c r="J255" i="1" s="1"/>
  <c r="H107" i="1"/>
  <c r="H335" i="1" s="1"/>
  <c r="H351" i="1" s="1"/>
  <c r="H496" i="1" s="1"/>
  <c r="H485" i="1" s="1"/>
  <c r="H266" i="1"/>
  <c r="H255" i="1" s="1"/>
  <c r="H105" i="1"/>
  <c r="H333" i="1" s="1"/>
  <c r="H349" i="1" s="1"/>
  <c r="H494" i="1" s="1"/>
  <c r="H483" i="1" s="1"/>
  <c r="H264" i="1"/>
  <c r="H253" i="1" s="1"/>
  <c r="J105" i="1"/>
  <c r="J333" i="1" s="1"/>
  <c r="J349" i="1" s="1"/>
  <c r="J494" i="1" s="1"/>
  <c r="J483" i="1" s="1"/>
  <c r="J264" i="1"/>
  <c r="J253" i="1" s="1"/>
  <c r="K105" i="1"/>
  <c r="K333" i="1" s="1"/>
  <c r="K349" i="1" s="1"/>
  <c r="K494" i="1" s="1"/>
  <c r="K483" i="1" s="1"/>
  <c r="K264" i="1"/>
  <c r="K253" i="1" s="1"/>
  <c r="G105" i="1"/>
  <c r="G333" i="1" s="1"/>
  <c r="G349" i="1" s="1"/>
  <c r="G494" i="1" s="1"/>
  <c r="G483" i="1" s="1"/>
  <c r="G264" i="1"/>
  <c r="G253" i="1" s="1"/>
  <c r="H220" i="1"/>
  <c r="H219" i="1" s="1"/>
  <c r="H217" i="1"/>
  <c r="K220" i="1"/>
  <c r="K219" i="1" s="1"/>
  <c r="K217" i="1"/>
  <c r="I220" i="1"/>
  <c r="I219" i="1" s="1"/>
  <c r="I217" i="1"/>
  <c r="J220" i="1"/>
  <c r="J219" i="1" s="1"/>
  <c r="J217" i="1"/>
  <c r="G220" i="1"/>
  <c r="G219" i="1" s="1"/>
  <c r="G217" i="1"/>
  <c r="F220" i="1"/>
  <c r="F219" i="1" s="1"/>
  <c r="F217" i="1"/>
  <c r="H212" i="1"/>
  <c r="H211" i="1" s="1"/>
  <c r="H209" i="1"/>
  <c r="G237" i="1"/>
  <c r="H237" i="1"/>
  <c r="I237" i="1"/>
  <c r="J237" i="1"/>
  <c r="K237" i="1"/>
  <c r="I193" i="1"/>
  <c r="K193" i="1"/>
  <c r="G193" i="1"/>
  <c r="H193" i="1"/>
  <c r="F167" i="1"/>
  <c r="F166" i="1"/>
  <c r="F561" i="1" s="1"/>
  <c r="G261" i="1"/>
  <c r="K261" i="1"/>
  <c r="J262" i="1"/>
  <c r="J251" i="1" s="1"/>
  <c r="I262" i="1"/>
  <c r="I251" i="1" s="1"/>
  <c r="F98" i="1"/>
  <c r="F326" i="1" s="1"/>
  <c r="F342" i="1" s="1"/>
  <c r="I261" i="1"/>
  <c r="G262" i="1"/>
  <c r="G251" i="1" s="1"/>
  <c r="K262" i="1"/>
  <c r="K251" i="1" s="1"/>
  <c r="F99" i="1"/>
  <c r="F327" i="1" s="1"/>
  <c r="F343" i="1" s="1"/>
  <c r="J193" i="1"/>
  <c r="F72" i="1"/>
  <c r="F193" i="1"/>
  <c r="H262" i="1"/>
  <c r="H251" i="1" s="1"/>
  <c r="F125" i="1"/>
  <c r="J261" i="1"/>
  <c r="H261" i="1"/>
  <c r="K99" i="1"/>
  <c r="K327" i="1" s="1"/>
  <c r="K343" i="1" s="1"/>
  <c r="F573" i="1"/>
  <c r="J573" i="1"/>
  <c r="F181" i="1"/>
  <c r="F237" i="1"/>
  <c r="F236" i="1" s="1"/>
  <c r="G181" i="1"/>
  <c r="I181" i="1"/>
  <c r="K181" i="1"/>
  <c r="F185" i="1"/>
  <c r="F184" i="1" s="1"/>
  <c r="H181" i="1"/>
  <c r="I185" i="1"/>
  <c r="I184" i="1" s="1"/>
  <c r="J181" i="1"/>
  <c r="I80" i="1"/>
  <c r="F97" i="1"/>
  <c r="F325" i="1" s="1"/>
  <c r="F341" i="1" s="1"/>
  <c r="F171" i="1"/>
  <c r="H185" i="1"/>
  <c r="H184" i="1" s="1"/>
  <c r="G80" i="1"/>
  <c r="I573" i="1"/>
  <c r="F149" i="1"/>
  <c r="G573" i="1"/>
  <c r="K185" i="1"/>
  <c r="K184" i="1" s="1"/>
  <c r="G185" i="1"/>
  <c r="G184" i="1" s="1"/>
  <c r="H80" i="1"/>
  <c r="K80" i="1"/>
  <c r="K573" i="1"/>
  <c r="J185" i="1"/>
  <c r="J184" i="1" s="1"/>
  <c r="J80" i="1"/>
  <c r="I12" i="1"/>
  <c r="I1746" i="1" s="1"/>
  <c r="I1706" i="1" s="1"/>
  <c r="J12" i="1"/>
  <c r="J1746" i="1" s="1"/>
  <c r="J1706" i="1" s="1"/>
  <c r="K12" i="1"/>
  <c r="K1746" i="1" s="1"/>
  <c r="K1706" i="1" s="1"/>
  <c r="G12" i="1"/>
  <c r="G1746" i="1" s="1"/>
  <c r="G1706" i="1" s="1"/>
  <c r="H12" i="1"/>
  <c r="H1746" i="1" s="1"/>
  <c r="H1706" i="1" s="1"/>
  <c r="I368" i="1" l="1"/>
  <c r="J468" i="1"/>
  <c r="I375" i="1"/>
  <c r="I370" i="1" s="1"/>
  <c r="I356" i="1"/>
  <c r="I338" i="1"/>
  <c r="I354" i="1" s="1"/>
  <c r="I499" i="1" s="1"/>
  <c r="I488" i="1" s="1"/>
  <c r="H338" i="1"/>
  <c r="H354" i="1" s="1"/>
  <c r="H499" i="1" s="1"/>
  <c r="H488" i="1" s="1"/>
  <c r="K338" i="1"/>
  <c r="K354" i="1" s="1"/>
  <c r="K499" i="1" s="1"/>
  <c r="K488" i="1" s="1"/>
  <c r="J337" i="1"/>
  <c r="J353" i="1" s="1"/>
  <c r="K337" i="1"/>
  <c r="K353" i="1" s="1"/>
  <c r="J338" i="1"/>
  <c r="J354" i="1" s="1"/>
  <c r="J499" i="1" s="1"/>
  <c r="J488" i="1" s="1"/>
  <c r="G337" i="1"/>
  <c r="G353" i="1" s="1"/>
  <c r="I337" i="1"/>
  <c r="I353" i="1" s="1"/>
  <c r="H337" i="1"/>
  <c r="H353" i="1" s="1"/>
  <c r="G338" i="1"/>
  <c r="G354" i="1" s="1"/>
  <c r="G499" i="1" s="1"/>
  <c r="G488" i="1" s="1"/>
  <c r="F356" i="1"/>
  <c r="I546" i="1"/>
  <c r="I501" i="1"/>
  <c r="I235" i="1"/>
  <c r="I234" i="1" s="1"/>
  <c r="I236" i="1"/>
  <c r="J235" i="1"/>
  <c r="J234" i="1" s="1"/>
  <c r="J236" i="1"/>
  <c r="G235" i="1"/>
  <c r="G234" i="1" s="1"/>
  <c r="G236" i="1"/>
  <c r="H235" i="1"/>
  <c r="H234" i="1" s="1"/>
  <c r="H236" i="1"/>
  <c r="K235" i="1"/>
  <c r="K234" i="1" s="1"/>
  <c r="K236" i="1"/>
  <c r="K190" i="1"/>
  <c r="K189" i="1" s="1"/>
  <c r="K192" i="1"/>
  <c r="F190" i="1"/>
  <c r="F189" i="1" s="1"/>
  <c r="F192" i="1"/>
  <c r="I190" i="1"/>
  <c r="I189" i="1" s="1"/>
  <c r="I192" i="1"/>
  <c r="J190" i="1"/>
  <c r="J189" i="1" s="1"/>
  <c r="J192" i="1"/>
  <c r="G190" i="1"/>
  <c r="G189" i="1" s="1"/>
  <c r="G192" i="1"/>
  <c r="H190" i="1"/>
  <c r="H189" i="1" s="1"/>
  <c r="H192" i="1"/>
  <c r="K790" i="1"/>
  <c r="K832" i="1" s="1"/>
  <c r="K865" i="1" s="1"/>
  <c r="J790" i="1"/>
  <c r="J832" i="1" s="1"/>
  <c r="J865" i="1" s="1"/>
  <c r="I790" i="1"/>
  <c r="I832" i="1" s="1"/>
  <c r="I865" i="1" s="1"/>
  <c r="H368" i="1"/>
  <c r="H790" i="1"/>
  <c r="H375" i="1"/>
  <c r="H370" i="1" s="1"/>
  <c r="G375" i="1"/>
  <c r="G370" i="1" s="1"/>
  <c r="F508" i="1"/>
  <c r="F507" i="1" s="1"/>
  <c r="G368" i="1"/>
  <c r="G790" i="1"/>
  <c r="G832" i="1" s="1"/>
  <c r="G865" i="1" s="1"/>
  <c r="G356" i="1"/>
  <c r="H356" i="1"/>
  <c r="G215" i="1"/>
  <c r="G574" i="1"/>
  <c r="J225" i="1"/>
  <c r="J577" i="1"/>
  <c r="K225" i="1"/>
  <c r="K577" i="1"/>
  <c r="G225" i="1"/>
  <c r="G577" i="1"/>
  <c r="F552" i="1"/>
  <c r="J215" i="1"/>
  <c r="J574" i="1"/>
  <c r="H225" i="1"/>
  <c r="H577" i="1"/>
  <c r="K215" i="1"/>
  <c r="K574" i="1"/>
  <c r="F225" i="1"/>
  <c r="F577" i="1"/>
  <c r="I215" i="1"/>
  <c r="I574" i="1"/>
  <c r="I225" i="1"/>
  <c r="I577" i="1"/>
  <c r="H215" i="1"/>
  <c r="H574" i="1"/>
  <c r="H546" i="1"/>
  <c r="H508" i="1"/>
  <c r="H507" i="1" s="1"/>
  <c r="J546" i="1"/>
  <c r="F539" i="1"/>
  <c r="G501" i="1"/>
  <c r="G546" i="1"/>
  <c r="J501" i="1"/>
  <c r="I508" i="1"/>
  <c r="I507" i="1" s="1"/>
  <c r="G468" i="1"/>
  <c r="K508" i="1"/>
  <c r="K507" i="1" s="1"/>
  <c r="G231" i="1"/>
  <c r="K546" i="1"/>
  <c r="I532" i="1"/>
  <c r="J61" i="1"/>
  <c r="G61" i="1"/>
  <c r="K468" i="1"/>
  <c r="G532" i="1"/>
  <c r="H468" i="1"/>
  <c r="I61" i="1"/>
  <c r="J532" i="1"/>
  <c r="K61" i="1"/>
  <c r="F533" i="1"/>
  <c r="H530" i="1"/>
  <c r="F416" i="1"/>
  <c r="J416" i="1"/>
  <c r="J409" i="1" s="1"/>
  <c r="J408" i="1" s="1"/>
  <c r="I416" i="1"/>
  <c r="I409" i="1" s="1"/>
  <c r="I408" i="1" s="1"/>
  <c r="K231" i="1"/>
  <c r="H61" i="1"/>
  <c r="J231" i="1"/>
  <c r="F303" i="1"/>
  <c r="H303" i="1"/>
  <c r="H296" i="1"/>
  <c r="I303" i="1"/>
  <c r="I296" i="1"/>
  <c r="G303" i="1"/>
  <c r="G296" i="1"/>
  <c r="I231" i="1"/>
  <c r="K303" i="1"/>
  <c r="K296" i="1"/>
  <c r="F415" i="1"/>
  <c r="F302" i="1"/>
  <c r="F296" i="1"/>
  <c r="H231" i="1"/>
  <c r="J303" i="1"/>
  <c r="J296" i="1"/>
  <c r="K328" i="1"/>
  <c r="K344" i="1" s="1"/>
  <c r="K530" i="1"/>
  <c r="G328" i="1"/>
  <c r="G344" i="1" s="1"/>
  <c r="G530" i="1"/>
  <c r="H308" i="1"/>
  <c r="G308" i="1"/>
  <c r="J308" i="1"/>
  <c r="I308" i="1"/>
  <c r="I328" i="1"/>
  <c r="I344" i="1" s="1"/>
  <c r="K308" i="1"/>
  <c r="H328" i="1"/>
  <c r="H344" i="1" s="1"/>
  <c r="J328" i="1"/>
  <c r="J344" i="1" s="1"/>
  <c r="J250" i="1"/>
  <c r="J249" i="1" s="1"/>
  <c r="J260" i="1"/>
  <c r="I250" i="1"/>
  <c r="I249" i="1" s="1"/>
  <c r="I260" i="1"/>
  <c r="K250" i="1"/>
  <c r="K249" i="1" s="1"/>
  <c r="K260" i="1"/>
  <c r="F110" i="1"/>
  <c r="F269" i="1"/>
  <c r="F258" i="1" s="1"/>
  <c r="G250" i="1"/>
  <c r="G249" i="1" s="1"/>
  <c r="G260" i="1"/>
  <c r="F109" i="1"/>
  <c r="F268" i="1"/>
  <c r="F257" i="1" s="1"/>
  <c r="H250" i="1"/>
  <c r="H249" i="1" s="1"/>
  <c r="H260" i="1"/>
  <c r="J102" i="1"/>
  <c r="J330" i="1" s="1"/>
  <c r="J346" i="1" s="1"/>
  <c r="J491" i="1" s="1"/>
  <c r="F105" i="1"/>
  <c r="F333" i="1" s="1"/>
  <c r="F349" i="1" s="1"/>
  <c r="F494" i="1" s="1"/>
  <c r="F483" i="1" s="1"/>
  <c r="F264" i="1"/>
  <c r="F253" i="1" s="1"/>
  <c r="J212" i="1"/>
  <c r="J211" i="1" s="1"/>
  <c r="J209" i="1"/>
  <c r="F212" i="1"/>
  <c r="F211" i="1" s="1"/>
  <c r="F209" i="1"/>
  <c r="I212" i="1"/>
  <c r="I211" i="1" s="1"/>
  <c r="I209" i="1"/>
  <c r="K212" i="1"/>
  <c r="K211" i="1" s="1"/>
  <c r="K209" i="1"/>
  <c r="G212" i="1"/>
  <c r="G211" i="1" s="1"/>
  <c r="G209" i="1"/>
  <c r="F100" i="1"/>
  <c r="F328" i="1" s="1"/>
  <c r="F344" i="1" s="1"/>
  <c r="G102" i="1"/>
  <c r="G330" i="1" s="1"/>
  <c r="G346" i="1" s="1"/>
  <c r="G491" i="1" s="1"/>
  <c r="H102" i="1"/>
  <c r="H330" i="1" s="1"/>
  <c r="H346" i="1" s="1"/>
  <c r="H491" i="1" s="1"/>
  <c r="H103" i="1"/>
  <c r="H331" i="1" s="1"/>
  <c r="H347" i="1" s="1"/>
  <c r="H492" i="1" s="1"/>
  <c r="H481" i="1" s="1"/>
  <c r="F235" i="1"/>
  <c r="F234" i="1" s="1"/>
  <c r="K102" i="1"/>
  <c r="K330" i="1" s="1"/>
  <c r="K346" i="1" s="1"/>
  <c r="K491" i="1" s="1"/>
  <c r="J103" i="1"/>
  <c r="J331" i="1" s="1"/>
  <c r="J347" i="1" s="1"/>
  <c r="J492" i="1" s="1"/>
  <c r="J481" i="1" s="1"/>
  <c r="G103" i="1"/>
  <c r="G331" i="1" s="1"/>
  <c r="G347" i="1" s="1"/>
  <c r="G492" i="1" s="1"/>
  <c r="G481" i="1" s="1"/>
  <c r="I112" i="1"/>
  <c r="I96" i="1" s="1"/>
  <c r="I102" i="1"/>
  <c r="I330" i="1" s="1"/>
  <c r="I346" i="1" s="1"/>
  <c r="I491" i="1" s="1"/>
  <c r="K112" i="1"/>
  <c r="K96" i="1" s="1"/>
  <c r="I103" i="1"/>
  <c r="I331" i="1" s="1"/>
  <c r="I347" i="1" s="1"/>
  <c r="I492" i="1" s="1"/>
  <c r="I481" i="1" s="1"/>
  <c r="G112" i="1"/>
  <c r="G96" i="1" s="1"/>
  <c r="F262" i="1"/>
  <c r="F251" i="1" s="1"/>
  <c r="J112" i="1"/>
  <c r="J96" i="1" s="1"/>
  <c r="H112" i="1"/>
  <c r="H96" i="1" s="1"/>
  <c r="K103" i="1"/>
  <c r="K331" i="1" s="1"/>
  <c r="K347" i="1" s="1"/>
  <c r="K492" i="1" s="1"/>
  <c r="K481" i="1" s="1"/>
  <c r="F80" i="1"/>
  <c r="F61" i="1" s="1"/>
  <c r="F337" i="1" l="1"/>
  <c r="F353" i="1" s="1"/>
  <c r="F338" i="1"/>
  <c r="F354" i="1" s="1"/>
  <c r="F499" i="1" s="1"/>
  <c r="F488" i="1" s="1"/>
  <c r="K836" i="1"/>
  <c r="K869" i="1" s="1"/>
  <c r="F413" i="1"/>
  <c r="F412" i="1" s="1"/>
  <c r="F414" i="1"/>
  <c r="I836" i="1"/>
  <c r="I869" i="1" s="1"/>
  <c r="J836" i="1"/>
  <c r="J869" i="1" s="1"/>
  <c r="I874" i="1"/>
  <c r="I840" i="1"/>
  <c r="I873" i="1" s="1"/>
  <c r="I837" i="1"/>
  <c r="I870" i="1" s="1"/>
  <c r="I834" i="1"/>
  <c r="I867" i="1" s="1"/>
  <c r="I839" i="1"/>
  <c r="I872" i="1" s="1"/>
  <c r="I838" i="1"/>
  <c r="I871" i="1" s="1"/>
  <c r="I835" i="1"/>
  <c r="I868" i="1" s="1"/>
  <c r="I833" i="1"/>
  <c r="I866" i="1" s="1"/>
  <c r="H208" i="1"/>
  <c r="H180" i="1" s="1"/>
  <c r="H179" i="1" s="1"/>
  <c r="H874" i="1"/>
  <c r="H840" i="1"/>
  <c r="H873" i="1" s="1"/>
  <c r="H839" i="1"/>
  <c r="H872" i="1" s="1"/>
  <c r="H838" i="1"/>
  <c r="H871" i="1" s="1"/>
  <c r="H837" i="1"/>
  <c r="H870" i="1" s="1"/>
  <c r="H834" i="1"/>
  <c r="H867" i="1" s="1"/>
  <c r="H835" i="1"/>
  <c r="H868" i="1" s="1"/>
  <c r="H833" i="1"/>
  <c r="H866" i="1" s="1"/>
  <c r="J874" i="1"/>
  <c r="J840" i="1"/>
  <c r="J873" i="1" s="1"/>
  <c r="J837" i="1"/>
  <c r="J870" i="1" s="1"/>
  <c r="J839" i="1"/>
  <c r="J872" i="1" s="1"/>
  <c r="J838" i="1"/>
  <c r="J871" i="1" s="1"/>
  <c r="J834" i="1"/>
  <c r="J867" i="1" s="1"/>
  <c r="J835" i="1"/>
  <c r="J868" i="1" s="1"/>
  <c r="J833" i="1"/>
  <c r="J866" i="1" s="1"/>
  <c r="F546" i="1"/>
  <c r="H836" i="1"/>
  <c r="H869" i="1" s="1"/>
  <c r="H832" i="1"/>
  <c r="H865" i="1" s="1"/>
  <c r="F501" i="1"/>
  <c r="G874" i="1"/>
  <c r="G840" i="1"/>
  <c r="G873" i="1" s="1"/>
  <c r="G834" i="1"/>
  <c r="G867" i="1" s="1"/>
  <c r="G838" i="1"/>
  <c r="G871" i="1" s="1"/>
  <c r="G837" i="1"/>
  <c r="G870" i="1" s="1"/>
  <c r="G839" i="1"/>
  <c r="G872" i="1" s="1"/>
  <c r="G835" i="1"/>
  <c r="G868" i="1" s="1"/>
  <c r="G833" i="1"/>
  <c r="G866" i="1" s="1"/>
  <c r="K874" i="1"/>
  <c r="K840" i="1"/>
  <c r="K873" i="1" s="1"/>
  <c r="K834" i="1"/>
  <c r="K867" i="1" s="1"/>
  <c r="K839" i="1"/>
  <c r="K872" i="1" s="1"/>
  <c r="K838" i="1"/>
  <c r="K871" i="1" s="1"/>
  <c r="K837" i="1"/>
  <c r="K870" i="1" s="1"/>
  <c r="K835" i="1"/>
  <c r="K868" i="1" s="1"/>
  <c r="K833" i="1"/>
  <c r="K866" i="1" s="1"/>
  <c r="G836" i="1"/>
  <c r="G869" i="1" s="1"/>
  <c r="G208" i="1"/>
  <c r="G180" i="1" s="1"/>
  <c r="G179" i="1" s="1"/>
  <c r="K208" i="1"/>
  <c r="K180" i="1" s="1"/>
  <c r="K179" i="1" s="1"/>
  <c r="J208" i="1"/>
  <c r="J180" i="1" s="1"/>
  <c r="J179" i="1" s="1"/>
  <c r="F208" i="1"/>
  <c r="F180" i="1" s="1"/>
  <c r="I208" i="1"/>
  <c r="I180" i="1" s="1"/>
  <c r="I179" i="1" s="1"/>
  <c r="J530" i="1"/>
  <c r="I530" i="1"/>
  <c r="F423" i="1"/>
  <c r="I423" i="1"/>
  <c r="H416" i="1"/>
  <c r="H409" i="1" s="1"/>
  <c r="H408" i="1" s="1"/>
  <c r="F530" i="1"/>
  <c r="I462" i="1"/>
  <c r="I461" i="1" s="1"/>
  <c r="I407" i="1" s="1"/>
  <c r="I526" i="1"/>
  <c r="K462" i="1"/>
  <c r="K461" i="1" s="1"/>
  <c r="K526" i="1"/>
  <c r="G462" i="1"/>
  <c r="G461" i="1" s="1"/>
  <c r="G526" i="1"/>
  <c r="J462" i="1"/>
  <c r="J461" i="1" s="1"/>
  <c r="J407" i="1" s="1"/>
  <c r="J526" i="1"/>
  <c r="H462" i="1"/>
  <c r="H461" i="1" s="1"/>
  <c r="H526" i="1"/>
  <c r="F462" i="1"/>
  <c r="F526" i="1"/>
  <c r="F525" i="1"/>
  <c r="K300" i="1"/>
  <c r="K289" i="1" s="1"/>
  <c r="G300" i="1"/>
  <c r="G289" i="1" s="1"/>
  <c r="I300" i="1"/>
  <c r="I289" i="1" s="1"/>
  <c r="H300" i="1"/>
  <c r="H289" i="1" s="1"/>
  <c r="J300" i="1"/>
  <c r="J289" i="1" s="1"/>
  <c r="F300" i="1"/>
  <c r="K480" i="1"/>
  <c r="K479" i="1" s="1"/>
  <c r="K490" i="1"/>
  <c r="G480" i="1"/>
  <c r="G479" i="1" s="1"/>
  <c r="G490" i="1"/>
  <c r="H480" i="1"/>
  <c r="H479" i="1" s="1"/>
  <c r="H490" i="1"/>
  <c r="I480" i="1"/>
  <c r="I479" i="1" s="1"/>
  <c r="I490" i="1"/>
  <c r="J480" i="1"/>
  <c r="J479" i="1" s="1"/>
  <c r="J490" i="1"/>
  <c r="G423" i="1"/>
  <c r="J467" i="1"/>
  <c r="G467" i="1"/>
  <c r="H467" i="1"/>
  <c r="K467" i="1"/>
  <c r="I467" i="1"/>
  <c r="F410" i="1"/>
  <c r="F409" i="1" s="1"/>
  <c r="F408" i="1" s="1"/>
  <c r="F467" i="1"/>
  <c r="K423" i="1"/>
  <c r="J340" i="1"/>
  <c r="J324" i="1" s="1"/>
  <c r="J423" i="1"/>
  <c r="K416" i="1"/>
  <c r="K409" i="1" s="1"/>
  <c r="K408" i="1" s="1"/>
  <c r="H340" i="1"/>
  <c r="H324" i="1" s="1"/>
  <c r="H423" i="1"/>
  <c r="G416" i="1"/>
  <c r="G409" i="1" s="1"/>
  <c r="G408" i="1" s="1"/>
  <c r="F395" i="1"/>
  <c r="K340" i="1"/>
  <c r="K324" i="1" s="1"/>
  <c r="I340" i="1"/>
  <c r="I324" i="1" s="1"/>
  <c r="G340" i="1"/>
  <c r="G324" i="1" s="1"/>
  <c r="F102" i="1"/>
  <c r="F112" i="1"/>
  <c r="F96" i="1" s="1"/>
  <c r="F103" i="1"/>
  <c r="F331" i="1" s="1"/>
  <c r="F347" i="1" s="1"/>
  <c r="F492" i="1" s="1"/>
  <c r="F481" i="1" s="1"/>
  <c r="F9" i="4" l="1"/>
  <c r="F8" i="4" s="1"/>
  <c r="G9" i="4"/>
  <c r="G8" i="4" s="1"/>
  <c r="I465" i="1"/>
  <c r="I464" i="1" s="1"/>
  <c r="I466" i="1"/>
  <c r="F465" i="1"/>
  <c r="F464" i="1" s="1"/>
  <c r="F466" i="1"/>
  <c r="K465" i="1"/>
  <c r="K464" i="1" s="1"/>
  <c r="K466" i="1"/>
  <c r="G465" i="1"/>
  <c r="G464" i="1" s="1"/>
  <c r="G466" i="1"/>
  <c r="H465" i="1"/>
  <c r="H464" i="1" s="1"/>
  <c r="H466" i="1"/>
  <c r="J465" i="1"/>
  <c r="J464" i="1" s="1"/>
  <c r="J466" i="1"/>
  <c r="J420" i="1"/>
  <c r="J419" i="1" s="1"/>
  <c r="J422" i="1"/>
  <c r="K420" i="1"/>
  <c r="K419" i="1" s="1"/>
  <c r="K422" i="1"/>
  <c r="H420" i="1"/>
  <c r="H419" i="1" s="1"/>
  <c r="H422" i="1"/>
  <c r="I420" i="1"/>
  <c r="I419" i="1" s="1"/>
  <c r="I422" i="1"/>
  <c r="F420" i="1"/>
  <c r="F419" i="1" s="1"/>
  <c r="F422" i="1"/>
  <c r="G420" i="1"/>
  <c r="G419" i="1" s="1"/>
  <c r="G422" i="1"/>
  <c r="H407" i="1"/>
  <c r="E9" i="4" s="1"/>
  <c r="E8" i="4" s="1"/>
  <c r="G407" i="1"/>
  <c r="D9" i="4" s="1"/>
  <c r="D8" i="4" s="1"/>
  <c r="K407" i="1"/>
  <c r="H9" i="4" s="1"/>
  <c r="H8" i="4" s="1"/>
  <c r="J2" i="1"/>
  <c r="G14" i="4" l="1"/>
  <c r="G13" i="4"/>
  <c r="H2" i="1"/>
  <c r="K2" i="1"/>
  <c r="I2" i="1"/>
  <c r="G2" i="1"/>
  <c r="F2" i="1"/>
  <c r="F1202" i="1"/>
  <c r="F14" i="4" l="1"/>
  <c r="F13" i="4"/>
  <c r="C14" i="4"/>
  <c r="C13" i="4"/>
  <c r="H14" i="4"/>
  <c r="H13" i="4"/>
  <c r="D13" i="4"/>
  <c r="D14" i="4"/>
  <c r="E14" i="4"/>
  <c r="E13" i="4"/>
  <c r="F238" i="1"/>
  <c r="F231" i="1" s="1"/>
  <c r="F179" i="1" s="1"/>
  <c r="F261" i="1"/>
  <c r="F260" i="1" s="1"/>
  <c r="F792" i="1"/>
  <c r="F790" i="1" s="1"/>
  <c r="F250" i="1" l="1"/>
  <c r="F249" i="1" s="1"/>
  <c r="F835" i="1"/>
  <c r="F868" i="1" s="1"/>
  <c r="F832" i="1"/>
  <c r="F865" i="1" s="1"/>
  <c r="F833" i="1"/>
  <c r="F866" i="1" s="1"/>
  <c r="F838" i="1"/>
  <c r="F871" i="1" s="1"/>
  <c r="F840" i="1"/>
  <c r="F873" i="1" s="1"/>
  <c r="F837" i="1"/>
  <c r="F870" i="1" s="1"/>
  <c r="F834" i="1"/>
  <c r="F867" i="1" s="1"/>
  <c r="F839" i="1"/>
  <c r="F872" i="1" s="1"/>
  <c r="F836" i="1"/>
  <c r="F869" i="1" s="1"/>
  <c r="F532" i="1"/>
  <c r="F308" i="1"/>
  <c r="F330" i="1"/>
  <c r="F346" i="1" s="1"/>
  <c r="F289" i="1" l="1"/>
  <c r="F340" i="1"/>
  <c r="F324" i="1" s="1"/>
  <c r="F491" i="1"/>
  <c r="F490" i="1" s="1"/>
  <c r="F468" i="1"/>
  <c r="F461" i="1" s="1"/>
  <c r="F407" i="1" s="1"/>
  <c r="F480" i="1" l="1"/>
  <c r="F479" i="1" s="1"/>
  <c r="C9" i="4"/>
  <c r="C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<sst xmlns="http://schemas.openxmlformats.org/spreadsheetml/2006/main" count="5176" uniqueCount="2477">
  <si>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</si>
  <si>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</si>
  <si>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</si>
  <si>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</si>
  <si>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</si>
  <si>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</si>
  <si>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</si>
  <si>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</si>
  <si>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</si>
  <si>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</si>
  <si>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</si>
  <si>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</si>
  <si>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</si>
  <si>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</si>
  <si>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</si>
  <si>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</si>
  <si>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</si>
  <si>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</si>
  <si>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</si>
  <si>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</si>
  <si>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</si>
  <si>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</si>
  <si>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</si>
  <si>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</si>
  <si>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</si>
  <si>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</si>
  <si>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</si>
  <si>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</si>
  <si>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</si>
  <si>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</si>
  <si>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</si>
  <si>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</si>
  <si>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</si>
  <si>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</si>
  <si>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</si>
  <si>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</si>
  <si>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</si>
  <si>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</si>
  <si>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</si>
  <si>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</si>
  <si>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</si>
  <si>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</si>
  <si>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</si>
  <si>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</si>
  <si>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</si>
  <si>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</si>
  <si>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</si>
  <si>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</si>
  <si>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</si>
  <si>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</si>
  <si>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</si>
  <si>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</si>
  <si>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</si>
  <si>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</si>
  <si>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</si>
  <si>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</si>
  <si>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</si>
  <si>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</si>
  <si>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</si>
  <si>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</si>
  <si>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</si>
  <si>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</si>
  <si>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</si>
  <si>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</si>
  <si>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</si>
  <si>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</si>
  <si>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</si>
  <si>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</si>
  <si>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</si>
  <si>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</si>
  <si>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</si>
  <si>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</si>
  <si>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</si>
  <si>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</si>
  <si>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</si>
  <si>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</si>
  <si>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</si>
  <si>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</si>
  <si>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</si>
  <si>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</si>
  <si>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</si>
  <si>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</si>
  <si>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</si>
  <si>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</si>
  <si>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</si>
  <si>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</si>
  <si>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</si>
  <si>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</si>
  <si>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</si>
  <si>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</si>
  <si>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</si>
  <si>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</si>
  <si>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</si>
  <si>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</si>
  <si>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</si>
  <si>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</si>
  <si>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</si>
  <si>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</si>
  <si>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</si>
  <si>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</si>
  <si>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</si>
  <si>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</si>
  <si>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</si>
  <si>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</si>
  <si>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</si>
  <si>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</si>
  <si>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</si>
  <si>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</si>
  <si>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</si>
  <si>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</si>
  <si>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</si>
  <si>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</si>
  <si>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</si>
  <si>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</si>
  <si>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</si>
  <si>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</si>
  <si>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</si>
  <si>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</si>
  <si>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</si>
  <si>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</si>
  <si>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</si>
  <si>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</si>
  <si>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</si>
  <si>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</si>
  <si>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</si>
  <si>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</si>
  <si>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</si>
  <si>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</si>
  <si>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</si>
  <si>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</si>
  <si>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</si>
  <si>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</si>
  <si>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</si>
  <si>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</si>
  <si>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</si>
  <si>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</si>
  <si>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</si>
  <si>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</si>
  <si>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</si>
  <si>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</si>
  <si>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</si>
  <si>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</si>
  <si>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</si>
  <si>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</si>
  <si>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</si>
  <si>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</si>
  <si>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</si>
  <si>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</si>
  <si>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</si>
  <si>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</si>
  <si>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</si>
  <si>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</si>
  <si>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</si>
  <si>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</si>
  <si>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</si>
  <si>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</si>
  <si>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</si>
  <si>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</si>
  <si>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</si>
  <si>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</si>
  <si>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</si>
  <si>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</si>
  <si>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</si>
  <si>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</si>
  <si>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</si>
  <si>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</si>
  <si>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</si>
  <si>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</si>
  <si>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</si>
  <si>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</si>
  <si>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</si>
  <si>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</si>
  <si>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</si>
  <si>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</si>
  <si>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</si>
  <si>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</si>
  <si>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</si>
  <si>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</si>
  <si>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</si>
  <si>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</si>
  <si>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</si>
  <si>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</si>
  <si>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</si>
  <si>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</si>
  <si>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</si>
  <si>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</si>
  <si>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</si>
  <si>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</si>
  <si>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</si>
  <si>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</si>
  <si>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</si>
  <si>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</si>
  <si>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</si>
  <si>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</si>
  <si>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</si>
  <si>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</si>
  <si>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</si>
  <si>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</si>
  <si>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</si>
  <si>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</si>
  <si>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</si>
  <si>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</si>
  <si>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</si>
  <si>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</si>
  <si>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</si>
  <si>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</si>
  <si>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</si>
  <si>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</si>
  <si>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</si>
  <si>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</si>
  <si>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</si>
  <si>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</si>
  <si>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</si>
  <si>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</si>
  <si>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</si>
  <si>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</si>
  <si>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</si>
  <si>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</si>
  <si>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</si>
  <si>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</si>
  <si>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</si>
  <si>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</si>
  <si>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</si>
  <si>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</si>
  <si>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</si>
  <si>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</si>
  <si>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</si>
  <si>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</si>
  <si>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</si>
  <si>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</si>
  <si>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</si>
  <si>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</si>
  <si>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</si>
  <si>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</si>
  <si>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</si>
  <si>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</si>
  <si>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</si>
  <si>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</si>
  <si>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</si>
  <si>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</si>
  <si>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</si>
  <si>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</si>
  <si>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</si>
  <si>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</si>
  <si>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</si>
  <si>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</si>
  <si>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</si>
  <si>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</si>
  <si>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</si>
  <si>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</si>
  <si>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</si>
  <si>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</si>
  <si>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</si>
  <si>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</si>
  <si>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</si>
  <si>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</si>
  <si>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</si>
  <si>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</si>
  <si>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</si>
  <si>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</si>
  <si>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</si>
  <si>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</si>
  <si>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</si>
  <si>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</si>
  <si>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</si>
  <si>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</si>
  <si>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</si>
  <si>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</si>
  <si>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</si>
  <si>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</si>
  <si>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</si>
  <si>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</si>
  <si>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</si>
  <si>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</si>
  <si>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</si>
  <si>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</si>
  <si>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</si>
  <si>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</si>
  <si>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</si>
  <si>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</si>
  <si>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</si>
  <si>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</si>
  <si>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</si>
  <si>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</si>
  <si>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</si>
  <si>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</si>
  <si>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</si>
  <si>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</si>
  <si>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</si>
  <si>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</si>
  <si>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</si>
  <si>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</si>
  <si>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</si>
  <si>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</si>
  <si>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</si>
  <si>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</si>
  <si>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</si>
  <si>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</si>
  <si>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</si>
  <si>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</si>
  <si>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</si>
  <si>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</si>
  <si>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</si>
  <si>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</si>
  <si>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</si>
  <si>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</si>
  <si>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</si>
  <si>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</si>
  <si>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</si>
  <si>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</si>
  <si>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</si>
  <si>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</si>
  <si>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</si>
  <si>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</si>
  <si>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</si>
  <si>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</si>
  <si>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</si>
  <si>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</si>
  <si>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</si>
  <si>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</si>
  <si>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</si>
  <si>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</si>
  <si>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</si>
  <si>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</si>
  <si>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</si>
  <si>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</si>
  <si>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</si>
  <si>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</si>
  <si>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</si>
  <si>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</si>
  <si>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</si>
  <si>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</si>
  <si>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</si>
  <si>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</si>
  <si>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</si>
  <si>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</si>
  <si>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</si>
  <si>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</si>
  <si>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</si>
  <si>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</si>
  <si>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</si>
  <si>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</si>
  <si>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</si>
  <si>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</si>
  <si>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</si>
  <si>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</si>
  <si>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</si>
  <si>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</si>
  <si>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</si>
  <si>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</si>
  <si>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</si>
  <si>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</si>
  <si>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</si>
  <si>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</si>
  <si>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</si>
  <si>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</si>
  <si>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</si>
  <si>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</si>
  <si>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</si>
  <si>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</si>
  <si>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</si>
  <si>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</si>
  <si>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</si>
  <si>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</si>
  <si>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</si>
  <si>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</si>
  <si>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</si>
  <si>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</si>
  <si>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</si>
  <si>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</si>
  <si>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</si>
  <si>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</si>
  <si>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</si>
  <si>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</si>
  <si>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</si>
  <si>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</si>
  <si>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</si>
  <si>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</si>
  <si>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</si>
  <si>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</si>
  <si>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</si>
  <si>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</si>
  <si>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</si>
  <si>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</si>
  <si>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</si>
  <si>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</si>
  <si>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</si>
  <si>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</si>
  <si>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</si>
  <si>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</si>
  <si>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</si>
  <si>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</si>
  <si>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</si>
  <si>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</si>
  <si>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</si>
  <si>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</si>
  <si>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</si>
  <si>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</si>
  <si>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</si>
  <si>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</si>
  <si>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</si>
  <si>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</si>
  <si>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</si>
  <si>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</si>
  <si>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</si>
  <si>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</si>
  <si>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</si>
  <si>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</si>
  <si>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</si>
  <si>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</si>
  <si>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</si>
  <si>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</si>
  <si>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</si>
  <si>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</si>
  <si>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</si>
  <si>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</si>
  <si>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</si>
  <si>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</si>
  <si>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</si>
  <si>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</si>
  <si>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</si>
  <si>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</si>
  <si>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</si>
  <si>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</si>
  <si>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</si>
  <si>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</si>
  <si>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</si>
  <si>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</si>
  <si>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</si>
  <si>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</si>
  <si>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</si>
  <si>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</si>
  <si>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</si>
  <si>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</si>
  <si>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</si>
  <si>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</si>
  <si>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</si>
  <si>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</si>
  <si>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</si>
  <si>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</si>
  <si>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</si>
  <si>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</si>
  <si>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</si>
  <si>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</si>
  <si>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</si>
  <si>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</si>
  <si>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</si>
  <si>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</si>
  <si>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</si>
  <si>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</si>
  <si>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</si>
  <si>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</si>
  <si>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</si>
  <si>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</si>
  <si>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</si>
  <si>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</si>
  <si>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</si>
  <si>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</si>
  <si>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</si>
  <si>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</si>
  <si>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</si>
  <si>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</si>
  <si>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</si>
  <si>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</si>
  <si>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</si>
  <si>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</si>
  <si>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</si>
  <si>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</si>
  <si>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</si>
  <si>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</si>
  <si>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</si>
  <si>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</si>
  <si>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</si>
  <si>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</si>
  <si>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</si>
  <si>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</si>
  <si>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</si>
  <si>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</si>
  <si>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</si>
  <si>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</si>
  <si>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</si>
  <si>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</si>
  <si>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</si>
  <si>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</si>
  <si>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</si>
  <si>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</si>
  <si>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</si>
  <si>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</si>
  <si>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</si>
  <si>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</si>
  <si>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</si>
  <si>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</si>
  <si>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</si>
  <si>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</si>
  <si>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</si>
  <si>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</si>
  <si>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</si>
  <si>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</si>
  <si>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</si>
  <si>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</si>
  <si>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</si>
  <si>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</si>
  <si>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</si>
  <si>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</si>
  <si>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</si>
  <si>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</si>
  <si>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</si>
  <si>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</si>
  <si>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</si>
  <si>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</si>
  <si>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</si>
  <si>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</si>
  <si>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</si>
  <si>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</si>
  <si>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</si>
  <si>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</si>
  <si>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</si>
  <si>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</si>
  <si>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</si>
  <si>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</si>
  <si>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</si>
  <si>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</si>
  <si>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</si>
  <si>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</si>
  <si>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</si>
  <si>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</si>
  <si>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</si>
  <si>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</si>
  <si>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</si>
  <si>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</si>
  <si>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</si>
  <si>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</si>
  <si>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</si>
  <si>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</si>
  <si>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</si>
  <si>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</si>
  <si>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</si>
  <si>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</si>
  <si>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</si>
  <si>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</si>
  <si>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</si>
  <si>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</si>
  <si>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</si>
  <si>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</si>
  <si>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</si>
  <si>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</si>
  <si>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</si>
  <si>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</si>
  <si>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</si>
  <si>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</si>
  <si>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</si>
  <si>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</si>
  <si>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</si>
  <si>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</si>
  <si>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</si>
  <si>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</si>
  <si>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</si>
  <si>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</si>
  <si>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</si>
  <si>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</si>
  <si>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</si>
  <si>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</si>
  <si>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</si>
  <si>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</si>
  <si>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</si>
  <si>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</si>
  <si>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</si>
  <si>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</si>
  <si>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</si>
  <si>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</si>
  <si>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</si>
  <si>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</si>
  <si>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</si>
  <si>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</si>
  <si>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</si>
  <si>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</si>
  <si>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</si>
  <si>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</si>
  <si>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</si>
  <si>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</si>
  <si>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</si>
  <si>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</si>
  <si>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</si>
  <si>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</si>
  <si>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</si>
  <si>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</si>
  <si>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</si>
  <si>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</si>
  <si>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</si>
  <si>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</si>
  <si>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</si>
  <si>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</si>
  <si>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</si>
  <si>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</si>
  <si>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</si>
  <si>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</si>
  <si>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</si>
  <si>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</si>
  <si>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</si>
  <si>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</si>
  <si>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</si>
  <si>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</si>
  <si>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</si>
  <si>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</si>
  <si>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</si>
  <si>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</si>
  <si>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</si>
  <si>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</si>
  <si>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</si>
  <si>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</si>
  <si>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</si>
  <si>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</si>
  <si>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</si>
  <si>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</si>
  <si>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</si>
  <si>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</si>
  <si>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</si>
  <si>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</si>
  <si>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</si>
  <si>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</si>
  <si>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</si>
  <si>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</si>
  <si>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</si>
  <si>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</si>
  <si>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</si>
  <si>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</si>
  <si>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</si>
  <si>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</si>
  <si>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</si>
  <si>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</si>
  <si>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</si>
  <si>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</si>
  <si>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</si>
  <si>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</si>
  <si>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</si>
  <si>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</si>
  <si>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</si>
  <si>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</si>
  <si>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</si>
  <si>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</si>
  <si>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</si>
  <si>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</si>
  <si>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</si>
  <si>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</si>
  <si>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</si>
  <si>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</si>
  <si>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</si>
  <si>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</si>
  <si>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</si>
  <si>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</si>
  <si>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</si>
  <si>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</si>
  <si>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</si>
  <si>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</si>
  <si>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</si>
  <si>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</si>
  <si>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</si>
  <si>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</si>
  <si>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</si>
  <si>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</si>
  <si>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</si>
  <si>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</si>
  <si>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</si>
  <si>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</si>
  <si>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</si>
  <si>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</si>
  <si>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</si>
  <si>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</si>
  <si>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</si>
  <si>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</si>
  <si>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</si>
  <si>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</si>
  <si>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</si>
  <si>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</si>
  <si>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</si>
  <si>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</si>
  <si>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</si>
  <si>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</si>
  <si>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</si>
  <si>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</si>
  <si>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</si>
  <si>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</si>
  <si>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</si>
  <si>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</si>
  <si>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</si>
  <si>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</si>
  <si>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</si>
  <si>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</si>
  <si>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</si>
  <si>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</si>
  <si>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</si>
  <si>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</si>
  <si>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</si>
  <si>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</si>
  <si>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</si>
  <si>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</si>
  <si>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</si>
  <si>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</si>
  <si>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</si>
  <si>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</si>
  <si>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</si>
  <si>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</si>
  <si>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</si>
  <si>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</si>
  <si>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</si>
  <si>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</si>
  <si>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</si>
  <si>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</si>
  <si>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</si>
  <si>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</si>
  <si>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</si>
  <si>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</si>
  <si>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</si>
  <si>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</si>
  <si>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</si>
  <si>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</si>
  <si>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</si>
  <si>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</si>
  <si>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</si>
  <si>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</si>
  <si>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</si>
  <si>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</si>
  <si>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</si>
  <si>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</si>
  <si>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</si>
  <si>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</si>
  <si>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</si>
  <si>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</si>
  <si>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</si>
  <si>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</si>
  <si>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</si>
  <si>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</si>
  <si>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</si>
  <si>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</si>
  <si>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</si>
  <si>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</si>
  <si>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</si>
  <si>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</si>
  <si>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</si>
  <si>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</si>
  <si>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</si>
  <si>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</si>
  <si>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</si>
  <si>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</si>
  <si>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</si>
  <si>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</si>
  <si>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</si>
  <si>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</si>
  <si>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</si>
  <si>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</si>
  <si>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</si>
  <si>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</si>
  <si>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</si>
  <si>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</si>
  <si>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</si>
  <si>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</si>
  <si>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</si>
  <si>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</si>
  <si>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</si>
  <si>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</si>
  <si>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</si>
  <si>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</si>
  <si>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</si>
  <si>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</si>
  <si>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</si>
  <si>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</si>
  <si>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</si>
  <si>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</si>
  <si>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</si>
  <si>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</si>
  <si>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</si>
  <si>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</si>
  <si>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</si>
  <si>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</si>
  <si>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</si>
  <si>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</si>
  <si>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</si>
  <si>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</si>
  <si>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</si>
  <si>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</si>
  <si>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</si>
  <si>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</si>
  <si>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</si>
  <si>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Imports|Oil|Synthetic liquids|PtL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</si>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</sst>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P07%20integrated%20modelling/STEM_Results/sps1_cli_b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</row>
        <row r="2">
          <cell r="B2"/>
          <cell r="C2"/>
          <cell r="D2"/>
          <cell r="E2"/>
          <cell r="F2"/>
          <cell r="G2"/>
          <cell r="H2"/>
          <cell r="I2"/>
          <cell r="J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2040</v>
          </cell>
          <cell r="J3" t="str">
            <v>2050</v>
          </cell>
        </row>
        <row r="4">
          <cell r="B4" t="str">
            <v>EHYD-DAM15</v>
          </cell>
          <cell r="C4" t="str">
            <v>VAR_fout</v>
          </cell>
          <cell r="D4" t="str">
            <v>ELC</v>
          </cell>
          <cell r="F4">
            <v>2.1301381219096648E-3</v>
          </cell>
          <cell r="G4">
            <v>2.4912315809158662E-3</v>
          </cell>
          <cell r="H4">
            <v>2.5318275812273418E-3</v>
          </cell>
          <cell r="I4">
            <v>1.805984442015645</v>
          </cell>
          <cell r="J4">
            <v>2.7089765759739692</v>
          </cell>
        </row>
        <row r="5">
          <cell r="B5" t="str">
            <v>EHYD-DAM15</v>
          </cell>
          <cell r="C5" t="str">
            <v>VAR_fin</v>
          </cell>
          <cell r="D5" t="str">
            <v>HYDD</v>
          </cell>
          <cell r="F5">
            <v>2.1301381219096648E-3</v>
          </cell>
          <cell r="G5">
            <v>2.4912315809158662E-3</v>
          </cell>
          <cell r="H5">
            <v>2.5318275812273418E-3</v>
          </cell>
          <cell r="I5">
            <v>1.805984442015645</v>
          </cell>
          <cell r="J5">
            <v>2.7089765759739692</v>
          </cell>
        </row>
        <row r="6">
          <cell r="B6" t="str">
            <v>EHYD-DAM15</v>
          </cell>
          <cell r="C6" t="str">
            <v>VAR_ncap</v>
          </cell>
          <cell r="D6" t="str">
            <v>-</v>
          </cell>
          <cell r="F6">
            <v>2.6632029042369498E-4</v>
          </cell>
          <cell r="G6">
            <v>7.2402426214662902E-7</v>
          </cell>
          <cell r="H6">
            <v>0.20842018966058701</v>
          </cell>
          <cell r="I6">
            <v>5.3530436859547899E-2</v>
          </cell>
          <cell r="J6">
            <v>0.174571153040427</v>
          </cell>
        </row>
        <row r="7">
          <cell r="B7" t="str">
            <v>EHYD-DAM15</v>
          </cell>
          <cell r="C7" t="str">
            <v>VAR_cap</v>
          </cell>
          <cell r="D7" t="str">
            <v>-</v>
          </cell>
          <cell r="F7">
            <v>2.6632029042369498E-4</v>
          </cell>
          <cell r="G7">
            <v>2.6632029042369498E-4</v>
          </cell>
          <cell r="H7">
            <v>2.6632029042369498E-4</v>
          </cell>
          <cell r="I7">
            <v>0.208687233975273</v>
          </cell>
          <cell r="J7">
            <v>0.31392353457050998</v>
          </cell>
        </row>
        <row r="8">
          <cell r="B8" t="str">
            <v>D-RPLT</v>
          </cell>
          <cell r="C8" t="str">
            <v>VAR_fout</v>
          </cell>
          <cell r="D8" t="str">
            <v>RPLT</v>
          </cell>
          <cell r="E8">
            <v>3.2682401322632653</v>
          </cell>
          <cell r="F8">
            <v>3.8319995806525013</v>
          </cell>
          <cell r="G8">
            <v>0.91635661793987877</v>
          </cell>
          <cell r="H8">
            <v>1.18979118040344</v>
          </cell>
          <cell r="I8">
            <v>1.3583650414405437</v>
          </cell>
          <cell r="J8">
            <v>1.1700876733137258</v>
          </cell>
        </row>
        <row r="9">
          <cell r="B9" t="str">
            <v>D-RPLT</v>
          </cell>
          <cell r="C9" t="str">
            <v>VAR_fin</v>
          </cell>
          <cell r="D9" t="str">
            <v>PLT</v>
          </cell>
          <cell r="E9">
            <v>3.2682401322632653</v>
          </cell>
          <cell r="F9">
            <v>3.8319995806525013</v>
          </cell>
          <cell r="G9">
            <v>0.91635661793987877</v>
          </cell>
          <cell r="H9">
            <v>1.18979118040344</v>
          </cell>
          <cell r="I9">
            <v>1.3583650414405437</v>
          </cell>
          <cell r="J9">
            <v>1.1700876733137258</v>
          </cell>
        </row>
        <row r="10">
          <cell r="B10" t="str">
            <v>ITOT-CHPNGA</v>
          </cell>
          <cell r="C10" t="str">
            <v>VAR_fout</v>
          </cell>
          <cell r="D10" t="str">
            <v>ITOT_NKEV_GAS_ELC_CHP</v>
          </cell>
          <cell r="E10">
            <v>0.66998053728445306</v>
          </cell>
          <cell r="F10">
            <v>8.9728723846753983E-2</v>
          </cell>
          <cell r="G10">
            <v>5.1512683758403781E-2</v>
          </cell>
          <cell r="H10">
            <v>0.10663747871529879</v>
          </cell>
          <cell r="I10">
            <v>0.66546002587379116</v>
          </cell>
          <cell r="J10">
            <v>0.42387157276595089</v>
          </cell>
        </row>
        <row r="11">
          <cell r="B11" t="str">
            <v>ITOT-CHPNGA</v>
          </cell>
          <cell r="C11" t="str">
            <v>VAR_fout</v>
          </cell>
          <cell r="D11" t="str">
            <v>ITOT_LTH_CHP</v>
          </cell>
          <cell r="E11">
            <v>2.0850740871161624</v>
          </cell>
          <cell r="F11">
            <v>0.26148636688091659</v>
          </cell>
          <cell r="G11">
            <v>0.13482198286972602</v>
          </cell>
          <cell r="H11">
            <v>0.22632468568654646</v>
          </cell>
          <cell r="I11">
            <v>0.7537054134958755</v>
          </cell>
          <cell r="J11">
            <v>0.46848963305710528</v>
          </cell>
        </row>
        <row r="12">
          <cell r="B12" t="str">
            <v>ITOT-CHPNGA</v>
          </cell>
          <cell r="C12" t="str">
            <v>VAR_fout</v>
          </cell>
          <cell r="D12" t="str">
            <v>CO2_I</v>
          </cell>
          <cell r="E12">
            <v>108.17977457611001</v>
          </cell>
          <cell r="F12">
            <v>14.384494320579099</v>
          </cell>
          <cell r="G12">
            <v>8.2628159503800305</v>
          </cell>
          <cell r="H12">
            <v>16.709956218662299</v>
          </cell>
          <cell r="I12">
            <v>104.50293739203001</v>
          </cell>
          <cell r="J12">
            <v>66.591888258231506</v>
          </cell>
        </row>
        <row r="13">
          <cell r="B13" t="str">
            <v>ITOT-CHPNGA</v>
          </cell>
          <cell r="C13" t="str">
            <v>VAR_fin</v>
          </cell>
          <cell r="D13" t="str">
            <v>INGA</v>
          </cell>
          <cell r="E13">
            <v>1.9180811095054997</v>
          </cell>
          <cell r="F13">
            <v>0.25504422554218259</v>
          </cell>
          <cell r="G13">
            <v>0.14650382890744734</v>
          </cell>
          <cell r="H13">
            <v>0.29627581947982845</v>
          </cell>
          <cell r="I13">
            <v>1.8528889608515908</v>
          </cell>
          <cell r="J13">
            <v>1.1807072386211244</v>
          </cell>
        </row>
        <row r="14">
          <cell r="B14" t="str">
            <v>ITOT-CHPNGA</v>
          </cell>
          <cell r="C14" t="str">
            <v>VAR_ncap</v>
          </cell>
          <cell r="D14" t="str">
            <v>-</v>
          </cell>
          <cell r="F14">
            <v>1.70542555476664E-7</v>
          </cell>
          <cell r="G14">
            <v>2.8077293029192501E-6</v>
          </cell>
          <cell r="H14">
            <v>2.0960466721092301E-3</v>
          </cell>
          <cell r="I14">
            <v>4.4031496420795999E-2</v>
          </cell>
          <cell r="J14">
            <v>1.7804203540312101E-6</v>
          </cell>
        </row>
        <row r="15">
          <cell r="B15" t="str">
            <v>ITOT-CHPNGA</v>
          </cell>
          <cell r="C15" t="str">
            <v>VAR_cap</v>
          </cell>
          <cell r="D15" t="str">
            <v>-</v>
          </cell>
          <cell r="E15">
            <v>2.5998801772813801E-2</v>
          </cell>
          <cell r="F15">
            <v>1.9228747656604178E-2</v>
          </cell>
          <cell r="G15">
            <v>1.2251404227975E-2</v>
          </cell>
          <cell r="H15">
            <v>5.8169769528825296E-3</v>
          </cell>
          <cell r="I15">
            <v>5.4529268587259302E-2</v>
          </cell>
          <cell r="J15">
            <v>5.1271265280660783E-2</v>
          </cell>
        </row>
        <row r="16">
          <cell r="B16" t="str">
            <v>G-INTC-IMP00-IT</v>
          </cell>
          <cell r="C16" t="str">
            <v>VAR_fout</v>
          </cell>
          <cell r="D16" t="str">
            <v>ELC</v>
          </cell>
          <cell r="E16">
            <v>6.7991005494891574</v>
          </cell>
          <cell r="F16">
            <v>2.5758676409023978E-4</v>
          </cell>
          <cell r="G16">
            <v>2.2773385679180776E-4</v>
          </cell>
          <cell r="H16">
            <v>1.047984230454022E-4</v>
          </cell>
          <cell r="I16">
            <v>1.296343764716452E-4</v>
          </cell>
          <cell r="J16">
            <v>9.0349189504093419E-5</v>
          </cell>
        </row>
        <row r="17">
          <cell r="B17" t="str">
            <v>G-INTC-IMP00-IT</v>
          </cell>
          <cell r="C17" t="str">
            <v>VAR_fin</v>
          </cell>
          <cell r="D17" t="str">
            <v>ELC_I-IT</v>
          </cell>
          <cell r="E17">
            <v>6.7991005494891574</v>
          </cell>
          <cell r="F17">
            <v>2.5758676409023978E-4</v>
          </cell>
          <cell r="G17">
            <v>2.2773385679180776E-4</v>
          </cell>
          <cell r="H17">
            <v>1.047984230454022E-4</v>
          </cell>
          <cell r="I17">
            <v>1.296343764716452E-4</v>
          </cell>
          <cell r="J17">
            <v>9.0349189504093419E-5</v>
          </cell>
        </row>
        <row r="18">
          <cell r="B18" t="str">
            <v>G-INTC-IMP00-IT</v>
          </cell>
          <cell r="C18" t="str">
            <v>VAR_ncap</v>
          </cell>
          <cell r="D18" t="str">
            <v>-</v>
          </cell>
          <cell r="E18">
            <v>2.9071030008180699E-7</v>
          </cell>
          <cell r="F18">
            <v>2.46745401999122E-7</v>
          </cell>
          <cell r="G18">
            <v>3.1231470732700898E-7</v>
          </cell>
          <cell r="H18">
            <v>3.3124052799736102E-7</v>
          </cell>
          <cell r="I18">
            <v>4.09584587365977E-7</v>
          </cell>
          <cell r="J18">
            <v>7.0665561784752696E-7</v>
          </cell>
        </row>
        <row r="19">
          <cell r="B19" t="str">
            <v>G-INTC-IMP00-IT</v>
          </cell>
          <cell r="C19" t="str">
            <v>VAR_cap</v>
          </cell>
          <cell r="D19" t="str">
            <v>-</v>
          </cell>
          <cell r="E19">
            <v>1.4619499429143936</v>
          </cell>
          <cell r="F19">
            <v>2.6629222960994348E-4</v>
          </cell>
          <cell r="G19">
            <v>2.5935399197996034E-4</v>
          </cell>
          <cell r="H19">
            <v>2.5013667091311476E-4</v>
          </cell>
          <cell r="I19">
            <v>2.4843348708758484E-4</v>
          </cell>
          <cell r="J19">
            <v>2.4873654018464642E-4</v>
          </cell>
        </row>
        <row r="20">
          <cell r="B20" t="str">
            <v>SCOM-EBAT</v>
          </cell>
          <cell r="C20" t="str">
            <v>VAR_fout</v>
          </cell>
          <cell r="D20" t="str">
            <v>AUX_SCOM-EBAT_OUT</v>
          </cell>
          <cell r="E20">
            <v>6.3066501497330946E-4</v>
          </cell>
          <cell r="F20">
            <v>6.234846866936375E-4</v>
          </cell>
          <cell r="G20">
            <v>6.2625973801339269E-4</v>
          </cell>
          <cell r="H20">
            <v>1.2310557126354664E-2</v>
          </cell>
          <cell r="I20">
            <v>1.4978828850148474E-2</v>
          </cell>
          <cell r="J20">
            <v>9.2185689314622787E-3</v>
          </cell>
        </row>
        <row r="21">
          <cell r="B21" t="str">
            <v>SCOM-EBAT</v>
          </cell>
          <cell r="C21" t="str">
            <v>VAR_fout</v>
          </cell>
          <cell r="D21" t="str">
            <v>SCOM_ELC</v>
          </cell>
          <cell r="E21">
            <v>6.3066501497330881E-4</v>
          </cell>
          <cell r="F21">
            <v>6.2348468669363695E-4</v>
          </cell>
          <cell r="G21">
            <v>6.2625973801339226E-4</v>
          </cell>
          <cell r="H21">
            <v>1.2310557126354656E-2</v>
          </cell>
          <cell r="I21">
            <v>1.497882885014846E-2</v>
          </cell>
          <cell r="J21">
            <v>9.2185689314622631E-3</v>
          </cell>
        </row>
        <row r="22">
          <cell r="B22" t="str">
            <v>SCOM-EBAT</v>
          </cell>
          <cell r="C22" t="str">
            <v>VAR_fin</v>
          </cell>
          <cell r="D22" t="str">
            <v>AUX_SCOM-EBAT_IN</v>
          </cell>
          <cell r="E22">
            <v>7.0747597214022449E-4</v>
          </cell>
          <cell r="F22">
            <v>6.9787756138355028E-4</v>
          </cell>
          <cell r="G22">
            <v>6.9389232682198678E-4</v>
          </cell>
          <cell r="H22">
            <v>1.3614769830482246E-2</v>
          </cell>
          <cell r="I22">
            <v>1.6565351391573484E-2</v>
          </cell>
          <cell r="J22">
            <v>1.0195282729604674E-2</v>
          </cell>
        </row>
        <row r="23">
          <cell r="B23" t="str">
            <v>SCOM-EBAT</v>
          </cell>
          <cell r="C23" t="str">
            <v>VAR_fin</v>
          </cell>
          <cell r="D23" t="str">
            <v>SCOM_ELC</v>
          </cell>
          <cell r="E23">
            <v>7.0747597214022449E-4</v>
          </cell>
          <cell r="F23">
            <v>6.9787756138355028E-4</v>
          </cell>
          <cell r="G23">
            <v>6.9389232682198678E-4</v>
          </cell>
          <cell r="H23">
            <v>1.3614769830482246E-2</v>
          </cell>
          <cell r="I23">
            <v>1.6565351391573484E-2</v>
          </cell>
          <cell r="J23">
            <v>1.0195282729604674E-2</v>
          </cell>
        </row>
        <row r="24">
          <cell r="B24" t="str">
            <v>SCOM-EBAT</v>
          </cell>
          <cell r="C24" t="str">
            <v>VAR_ncap</v>
          </cell>
          <cell r="D24" t="str">
            <v>-</v>
          </cell>
          <cell r="E24">
            <v>2.5337458086096301E-4</v>
          </cell>
          <cell r="F24">
            <v>3.8046723888704001E-7</v>
          </cell>
          <cell r="G24">
            <v>1.07894800945313E-6</v>
          </cell>
          <cell r="H24">
            <v>7.2446126152458301E-3</v>
          </cell>
          <cell r="I24">
            <v>4.7002173227417799E-3</v>
          </cell>
          <cell r="J24">
            <v>1.38938965237411E-3</v>
          </cell>
        </row>
        <row r="25">
          <cell r="B25" t="str">
            <v>SCOM-EBAT</v>
          </cell>
          <cell r="C25" t="str">
            <v>VAR_cap</v>
          </cell>
          <cell r="D25" t="str">
            <v>-</v>
          </cell>
          <cell r="E25">
            <v>2.5573426104404464E-4</v>
          </cell>
          <cell r="F25">
            <v>2.5598882980058818E-4</v>
          </cell>
          <cell r="G25">
            <v>2.5683841596425464E-4</v>
          </cell>
          <cell r="H25">
            <v>7.4310606835963858E-3</v>
          </cell>
          <cell r="I25">
            <v>6.1586259397263202E-3</v>
          </cell>
          <cell r="J25">
            <v>3.7772139074331006E-3</v>
          </cell>
        </row>
        <row r="26">
          <cell r="B26" t="str">
            <v>SCOM-SWHSTG-CHPNGA</v>
          </cell>
          <cell r="C26" t="str">
            <v>VAR_fout</v>
          </cell>
          <cell r="D26" t="str">
            <v>SCOM_LTH_CHPNGA</v>
          </cell>
          <cell r="E26">
            <v>4.3940108366908196E-5</v>
          </cell>
          <cell r="F26">
            <v>3.1260340811152326E-5</v>
          </cell>
          <cell r="G26">
            <v>1.0904829105389799</v>
          </cell>
          <cell r="H26">
            <v>1.4863315402133912</v>
          </cell>
          <cell r="I26">
            <v>2.4192771437521627</v>
          </cell>
          <cell r="J26">
            <v>1.0740898563138871E-4</v>
          </cell>
        </row>
        <row r="27">
          <cell r="B27" t="str">
            <v>SCOM-SWHSTG-CHPNGA</v>
          </cell>
          <cell r="C27" t="str">
            <v>VAR_fout</v>
          </cell>
          <cell r="D27" t="str">
            <v>AUX_SCOM-CHPNGA_OUT</v>
          </cell>
          <cell r="E27">
            <v>4.3940108366908081E-5</v>
          </cell>
          <cell r="F27">
            <v>3.1234810442463701E-5</v>
          </cell>
          <cell r="G27">
            <v>1.0890919884592116</v>
          </cell>
          <cell r="H27">
            <v>1.4863315402133936</v>
          </cell>
          <cell r="I27">
            <v>2.4192771437521645</v>
          </cell>
          <cell r="J27">
            <v>1.0740898563138871E-4</v>
          </cell>
        </row>
        <row r="28">
          <cell r="B28" t="str">
            <v>SCOM-SWHSTG-CHPNGA</v>
          </cell>
          <cell r="C28" t="str">
            <v>VAR_fin</v>
          </cell>
          <cell r="D28" t="str">
            <v>SCOM_LTH_CHPNGA</v>
          </cell>
          <cell r="E28">
            <v>3.6164726541314586E-5</v>
          </cell>
          <cell r="F28">
            <v>3.9253935554948661E-5</v>
          </cell>
          <cell r="G28">
            <v>1.298179429390014</v>
          </cell>
          <cell r="H28">
            <v>1.7084158177620603</v>
          </cell>
          <cell r="I28">
            <v>2.6013654146334004</v>
          </cell>
          <cell r="J28">
            <v>1.0740898563138871E-4</v>
          </cell>
        </row>
        <row r="29">
          <cell r="B29" t="str">
            <v>SCOM-SWHSTG-CHPNGA</v>
          </cell>
          <cell r="C29" t="str">
            <v>VAR_fin</v>
          </cell>
          <cell r="D29" t="str">
            <v>AUX_SCOM-CHPNGA_IN</v>
          </cell>
          <cell r="E29">
            <v>3.6164726541314586E-5</v>
          </cell>
          <cell r="F29">
            <v>3.9253935554948661E-5</v>
          </cell>
          <cell r="G29">
            <v>1.298179429390014</v>
          </cell>
          <cell r="H29">
            <v>1.7084158177620603</v>
          </cell>
          <cell r="I29">
            <v>2.6013654146334004</v>
          </cell>
          <cell r="J29">
            <v>1.0740898563138871E-4</v>
          </cell>
        </row>
        <row r="30">
          <cell r="B30" t="str">
            <v>SCOM-SWHSTG-CHPNGA</v>
          </cell>
          <cell r="C30" t="str">
            <v>VAR_ncap</v>
          </cell>
          <cell r="D30" t="str">
            <v>-</v>
          </cell>
          <cell r="E30">
            <v>1.8911264550764001E-3</v>
          </cell>
          <cell r="F30">
            <v>2.29608997919427E-5</v>
          </cell>
          <cell r="G30">
            <v>6.6609541980096498E-2</v>
          </cell>
          <cell r="H30">
            <v>2.4675354428160701E-2</v>
          </cell>
          <cell r="I30">
            <v>8.1500966566671704E-2</v>
          </cell>
          <cell r="J30">
            <v>2.4974732895599398E-6</v>
          </cell>
        </row>
        <row r="31">
          <cell r="B31" t="str">
            <v>SCOM-SWHSTG-CHPNGA</v>
          </cell>
          <cell r="C31" t="str">
            <v>VAR_cap</v>
          </cell>
          <cell r="D31" t="str">
            <v>-</v>
          </cell>
          <cell r="E31">
            <v>1.8911264550764001E-3</v>
          </cell>
          <cell r="F31">
            <v>1.912069466340412E-3</v>
          </cell>
          <cell r="G31">
            <v>6.8516696363321611E-2</v>
          </cell>
          <cell r="H31">
            <v>9.3179881307797224E-2</v>
          </cell>
          <cell r="I31">
            <v>0.15094535101451179</v>
          </cell>
          <cell r="J31">
            <v>7.1215375501029743E-4</v>
          </cell>
        </row>
        <row r="32">
          <cell r="B32" t="str">
            <v>D-EH2</v>
          </cell>
          <cell r="C32" t="str">
            <v>VAR_fout</v>
          </cell>
          <cell r="D32" t="str">
            <v>EH2</v>
          </cell>
          <cell r="I32">
            <v>0.38988547791006645</v>
          </cell>
          <cell r="J32">
            <v>0.38760801119276506</v>
          </cell>
        </row>
        <row r="33">
          <cell r="B33" t="str">
            <v>D-EH2</v>
          </cell>
          <cell r="C33" t="str">
            <v>VAR_fin</v>
          </cell>
          <cell r="D33" t="str">
            <v>H2</v>
          </cell>
          <cell r="I33">
            <v>0.39382371506067315</v>
          </cell>
          <cell r="J33">
            <v>0.39152324362905566</v>
          </cell>
        </row>
        <row r="34">
          <cell r="B34" t="str">
            <v>D-EH2</v>
          </cell>
          <cell r="C34" t="str">
            <v>VAR_ncap</v>
          </cell>
          <cell r="D34" t="str">
            <v>-</v>
          </cell>
          <cell r="H34">
            <v>4.3173101202602401E-7</v>
          </cell>
          <cell r="I34">
            <v>4.2673372800466201E-2</v>
          </cell>
          <cell r="J34">
            <v>2.3620505761827601E-6</v>
          </cell>
        </row>
        <row r="35">
          <cell r="B35" t="str">
            <v>D-EH2</v>
          </cell>
          <cell r="C35" t="str">
            <v>VAR_cap</v>
          </cell>
          <cell r="D35" t="str">
            <v>-</v>
          </cell>
          <cell r="H35">
            <v>4.3173101202602401E-7</v>
          </cell>
          <cell r="I35">
            <v>4.2675075100556403E-2</v>
          </cell>
          <cell r="J35">
            <v>4.2677437151132598E-2</v>
          </cell>
        </row>
        <row r="36">
          <cell r="B36" t="str">
            <v>ITOT-EBAT</v>
          </cell>
          <cell r="C36" t="str">
            <v>VAR_fout</v>
          </cell>
          <cell r="D36" t="str">
            <v>AUX_ITOT-EBAT_OUT</v>
          </cell>
          <cell r="E36">
            <v>6.2791337135903826E-4</v>
          </cell>
          <cell r="F36">
            <v>6.2073372537942303E-4</v>
          </cell>
          <cell r="G36">
            <v>6.2347385560357208E-4</v>
          </cell>
          <cell r="H36">
            <v>3.8205449333328666E-2</v>
          </cell>
          <cell r="I36">
            <v>0.31124888504413795</v>
          </cell>
          <cell r="J36">
            <v>0.63737692583814942</v>
          </cell>
        </row>
        <row r="37">
          <cell r="B37" t="str">
            <v>ITOT-EBAT</v>
          </cell>
          <cell r="C37" t="str">
            <v>VAR_fout</v>
          </cell>
          <cell r="D37" t="str">
            <v>ITOT_ELC</v>
          </cell>
          <cell r="E37">
            <v>6.2791337135903783E-4</v>
          </cell>
          <cell r="F37">
            <v>6.2073372537942259E-4</v>
          </cell>
          <cell r="G37">
            <v>6.2347385560357132E-4</v>
          </cell>
          <cell r="H37">
            <v>3.8205449333328624E-2</v>
          </cell>
          <cell r="I37">
            <v>0.31124888504413778</v>
          </cell>
          <cell r="J37">
            <v>0.63737692583814898</v>
          </cell>
        </row>
        <row r="38">
          <cell r="B38" t="str">
            <v>ITOT-EBAT</v>
          </cell>
          <cell r="C38" t="str">
            <v>VAR_fin</v>
          </cell>
          <cell r="D38" t="str">
            <v>ITOT_ELC</v>
          </cell>
          <cell r="E38">
            <v>7.0443302633514757E-4</v>
          </cell>
          <cell r="F38">
            <v>6.9483537011000155E-4</v>
          </cell>
          <cell r="G38">
            <v>6.9081158952453124E-4</v>
          </cell>
          <cell r="H38">
            <v>4.2251019527757602E-2</v>
          </cell>
          <cell r="I38">
            <v>0.34419997675267305</v>
          </cell>
          <cell r="J38">
            <v>0.7048534961732168</v>
          </cell>
        </row>
        <row r="39">
          <cell r="B39" t="str">
            <v>ITOT-EBAT</v>
          </cell>
          <cell r="C39" t="str">
            <v>VAR_fin</v>
          </cell>
          <cell r="D39" t="str">
            <v>AUX_ITOT-EBAT_IN</v>
          </cell>
          <cell r="E39">
            <v>7.0443302633514757E-4</v>
          </cell>
          <cell r="F39">
            <v>6.9483537011000155E-4</v>
          </cell>
          <cell r="G39">
            <v>6.9081158952453124E-4</v>
          </cell>
          <cell r="H39">
            <v>4.2251019527757602E-2</v>
          </cell>
          <cell r="I39">
            <v>0.34419997675267305</v>
          </cell>
          <cell r="J39">
            <v>0.7048534961732168</v>
          </cell>
        </row>
        <row r="40">
          <cell r="B40" t="str">
            <v>ITOT-EBAT</v>
          </cell>
          <cell r="C40" t="str">
            <v>VAR_ncap</v>
          </cell>
          <cell r="D40" t="str">
            <v>-</v>
          </cell>
          <cell r="E40">
            <v>2.5251960366908698E-4</v>
          </cell>
          <cell r="F40">
            <v>3.7928543454098598E-7</v>
          </cell>
          <cell r="G40">
            <v>1.06739486531459E-6</v>
          </cell>
          <cell r="H40">
            <v>7.5657310993976198E-2</v>
          </cell>
          <cell r="I40">
            <v>0.16316638117976201</v>
          </cell>
          <cell r="J40">
            <v>0.23198883438325399</v>
          </cell>
        </row>
        <row r="41">
          <cell r="B41" t="str">
            <v>ITOT-EBAT</v>
          </cell>
          <cell r="C41" t="str">
            <v>VAR_cap</v>
          </cell>
          <cell r="D41" t="str">
            <v>-</v>
          </cell>
          <cell r="E41">
            <v>2.5462093704238341E-4</v>
          </cell>
          <cell r="F41">
            <v>2.5487515948034473E-4</v>
          </cell>
          <cell r="G41">
            <v>2.5571500628586132E-4</v>
          </cell>
          <cell r="H41">
            <v>7.5843121519093198E-2</v>
          </cell>
          <cell r="I41">
            <v>0.21307831718614909</v>
          </cell>
          <cell r="J41">
            <v>0.32022485744961698</v>
          </cell>
        </row>
        <row r="42">
          <cell r="B42" t="str">
            <v>EWSTINCCS</v>
          </cell>
          <cell r="C42" t="str">
            <v>VAR_fout</v>
          </cell>
          <cell r="D42" t="str">
            <v>ELC35</v>
          </cell>
          <cell r="I42">
            <v>2.7056548903470619</v>
          </cell>
          <cell r="J42">
            <v>4.4885583394399982</v>
          </cell>
        </row>
        <row r="43">
          <cell r="B43" t="str">
            <v>EWSTINCCS</v>
          </cell>
          <cell r="C43" t="str">
            <v>VAR_fout</v>
          </cell>
          <cell r="D43" t="str">
            <v>CO2_O</v>
          </cell>
          <cell r="I43">
            <v>694.61494703647861</v>
          </cell>
          <cell r="J43">
            <v>1152.3345879563826</v>
          </cell>
        </row>
        <row r="44">
          <cell r="B44" t="str">
            <v>EWSTINCCS</v>
          </cell>
          <cell r="C44" t="str">
            <v>VAR_fout</v>
          </cell>
          <cell r="D44" t="str">
            <v>CO2</v>
          </cell>
          <cell r="I44">
            <v>-694.61494703647804</v>
          </cell>
          <cell r="J44">
            <v>-1152.3345879563799</v>
          </cell>
        </row>
        <row r="45">
          <cell r="B45" t="str">
            <v>EWSTINCCS</v>
          </cell>
          <cell r="C45" t="str">
            <v>VAR_fout</v>
          </cell>
          <cell r="D45" t="str">
            <v>CO2_E</v>
          </cell>
          <cell r="I45">
            <v>750.15977760982003</v>
          </cell>
          <cell r="J45">
            <v>1220.0793473060301</v>
          </cell>
        </row>
        <row r="46">
          <cell r="B46" t="str">
            <v>EWSTINCCS</v>
          </cell>
          <cell r="C46" t="str">
            <v>VAR_fin</v>
          </cell>
          <cell r="D46" t="str">
            <v>EWST</v>
          </cell>
          <cell r="I46">
            <v>8.0836182932092662</v>
          </cell>
          <cell r="J46">
            <v>13.147406759763259</v>
          </cell>
        </row>
        <row r="47">
          <cell r="B47" t="str">
            <v>EWSTINCCS</v>
          </cell>
          <cell r="C47" t="str">
            <v>VAR_ncap</v>
          </cell>
          <cell r="D47" t="str">
            <v>-</v>
          </cell>
          <cell r="I47">
            <v>0.160721664896192</v>
          </cell>
          <cell r="J47">
            <v>6.7269384514798301E-3</v>
          </cell>
        </row>
        <row r="48">
          <cell r="B48" t="str">
            <v>EWSTINCCS</v>
          </cell>
          <cell r="C48" t="str">
            <v>VAR_cap</v>
          </cell>
          <cell r="D48" t="str">
            <v>-</v>
          </cell>
          <cell r="I48">
            <v>0.160721664896192</v>
          </cell>
          <cell r="J48">
            <v>0.16744858744546215</v>
          </cell>
        </row>
        <row r="49">
          <cell r="B49" t="str">
            <v>D-RES_LTH</v>
          </cell>
          <cell r="C49" t="str">
            <v>VAR_fout</v>
          </cell>
          <cell r="D49" t="str">
            <v>RHNS_LTH_DH</v>
          </cell>
          <cell r="F49">
            <v>5.4465860228825838E-2</v>
          </cell>
          <cell r="G49">
            <v>3.0832989881449972E-3</v>
          </cell>
          <cell r="H49">
            <v>0.11272561431489533</v>
          </cell>
          <cell r="I49">
            <v>0.12263970040745209</v>
          </cell>
          <cell r="J49">
            <v>0.13347396001181211</v>
          </cell>
        </row>
        <row r="50">
          <cell r="B50" t="str">
            <v>D-RES_LTH</v>
          </cell>
          <cell r="C50" t="str">
            <v>VAR_fout</v>
          </cell>
          <cell r="D50" t="str">
            <v>RHEM_LTH_DH</v>
          </cell>
          <cell r="E50">
            <v>3.4367852540720678</v>
          </cell>
          <cell r="F50">
            <v>3.8270022750996504</v>
          </cell>
          <cell r="G50">
            <v>4.9530290719735977</v>
          </cell>
          <cell r="H50">
            <v>5.6451583664270375</v>
          </cell>
          <cell r="I50">
            <v>5.8413907536006038</v>
          </cell>
          <cell r="J50">
            <v>5.2115567227399628</v>
          </cell>
        </row>
        <row r="51">
          <cell r="B51" t="str">
            <v>D-RES_LTH</v>
          </cell>
          <cell r="C51" t="str">
            <v>VAR_fout</v>
          </cell>
          <cell r="D51" t="str">
            <v>RHES_LTH_DH</v>
          </cell>
          <cell r="E51">
            <v>3.1847432628028431</v>
          </cell>
          <cell r="F51">
            <v>3.5391924864249447</v>
          </cell>
          <cell r="G51">
            <v>1.5974686249616021</v>
          </cell>
          <cell r="H51">
            <v>1.9430495427027654</v>
          </cell>
          <cell r="I51">
            <v>2.1572785767789902</v>
          </cell>
          <cell r="J51">
            <v>2.0147200434427308</v>
          </cell>
        </row>
        <row r="52">
          <cell r="B52" t="str">
            <v>D-RES_LTH</v>
          </cell>
          <cell r="C52" t="str">
            <v>VAR_fout</v>
          </cell>
          <cell r="D52" t="str">
            <v>RHSA_LTH</v>
          </cell>
          <cell r="E52">
            <v>1.7184797023719103</v>
          </cell>
          <cell r="F52">
            <v>1.7771206207831864</v>
          </cell>
          <cell r="G52">
            <v>1.5792266994506408</v>
          </cell>
          <cell r="H52">
            <v>1.6314286774396276</v>
          </cell>
          <cell r="I52">
            <v>1.590466628836432</v>
          </cell>
          <cell r="J52">
            <v>2.3133782713974953</v>
          </cell>
        </row>
        <row r="53">
          <cell r="B53" t="str">
            <v>D-RES_LTH</v>
          </cell>
          <cell r="C53" t="str">
            <v>VAR_fout</v>
          </cell>
          <cell r="D53" t="str">
            <v>RHNM_LTH_DH</v>
          </cell>
          <cell r="F53">
            <v>0.35009645699931846</v>
          </cell>
          <cell r="G53">
            <v>5.6492066205753928E-2</v>
          </cell>
          <cell r="H53">
            <v>0.20392547913753092</v>
          </cell>
          <cell r="I53">
            <v>0.25430352142578261</v>
          </cell>
          <cell r="J53">
            <v>0.28627565845459252</v>
          </cell>
        </row>
        <row r="54">
          <cell r="B54" t="str">
            <v>D-RES_LTH</v>
          </cell>
          <cell r="C54" t="str">
            <v>VAR_fin</v>
          </cell>
          <cell r="D54" t="str">
            <v>LTH</v>
          </cell>
          <cell r="E54">
            <v>9.2187371346112172</v>
          </cell>
          <cell r="F54">
            <v>10.553813167575658</v>
          </cell>
          <cell r="G54">
            <v>9.0319763707874721</v>
          </cell>
          <cell r="H54">
            <v>10.478775270837774</v>
          </cell>
          <cell r="I54">
            <v>10.870825245583703</v>
          </cell>
          <cell r="J54">
            <v>10.784545786606378</v>
          </cell>
        </row>
        <row r="55">
          <cell r="B55" t="str">
            <v>D-RES_LTH</v>
          </cell>
          <cell r="C55" t="str">
            <v>VAR_ncap</v>
          </cell>
          <cell r="D55" t="str">
            <v>-</v>
          </cell>
          <cell r="E55">
            <v>0.62767437350211197</v>
          </cell>
          <cell r="F55">
            <v>9.4207347412704305E-7</v>
          </cell>
          <cell r="G55">
            <v>3.7964419428971001E-8</v>
          </cell>
          <cell r="H55">
            <v>4.3896530247263603E-8</v>
          </cell>
          <cell r="I55">
            <v>8.2028423009139205E-8</v>
          </cell>
          <cell r="J55">
            <v>7.3561748631299604E-8</v>
          </cell>
        </row>
        <row r="56">
          <cell r="B56" t="str">
            <v>D-RES_LTH</v>
          </cell>
          <cell r="C56" t="str">
            <v>VAR_cap</v>
          </cell>
          <cell r="D56" t="str">
            <v>-</v>
          </cell>
          <cell r="E56">
            <v>0.62767437350211197</v>
          </cell>
          <cell r="F56">
            <v>0.62767531557558598</v>
          </cell>
          <cell r="G56">
            <v>0.62767535354000503</v>
          </cell>
          <cell r="H56">
            <v>0.627675397436536</v>
          </cell>
          <cell r="I56">
            <v>0.62767559765483905</v>
          </cell>
          <cell r="J56">
            <v>0.62767567121658696</v>
          </cell>
        </row>
        <row r="57">
          <cell r="B57" t="str">
            <v>RHES-SHSTG-CHPNGA</v>
          </cell>
          <cell r="C57" t="str">
            <v>VAR_fout</v>
          </cell>
          <cell r="D57" t="str">
            <v>RHES_LTH_CHPNGA</v>
          </cell>
          <cell r="E57">
            <v>3.0461971552755911E-3</v>
          </cell>
          <cell r="F57">
            <v>1.1552257460627873E-4</v>
          </cell>
          <cell r="G57">
            <v>1.6005960286250922E-3</v>
          </cell>
          <cell r="H57">
            <v>3.4830408948088713E-4</v>
          </cell>
          <cell r="I57">
            <v>1.1452360925829584E-3</v>
          </cell>
          <cell r="J57">
            <v>1.9045066315112838E-4</v>
          </cell>
        </row>
        <row r="58">
          <cell r="B58" t="str">
            <v>RHES-SHSTG-CHPNGA</v>
          </cell>
          <cell r="C58" t="str">
            <v>VAR_fout</v>
          </cell>
          <cell r="D58" t="str">
            <v>AUX_RES_CHPNGA_OUT</v>
          </cell>
          <cell r="E58">
            <v>3.0461971552755989E-3</v>
          </cell>
          <cell r="F58">
            <v>1.1544561086570191E-4</v>
          </cell>
          <cell r="G58">
            <v>1.5989304760458802E-3</v>
          </cell>
          <cell r="H58">
            <v>3.4830408948088713E-4</v>
          </cell>
          <cell r="I58">
            <v>1.1452360925829619E-3</v>
          </cell>
          <cell r="J58">
            <v>1.9045066315112851E-4</v>
          </cell>
        </row>
        <row r="59">
          <cell r="B59" t="str">
            <v>RHES-SHSTG-CHPNGA</v>
          </cell>
          <cell r="C59" t="str">
            <v>VAR_fin</v>
          </cell>
          <cell r="D59" t="str">
            <v>RHES_LTH_CHPNGA</v>
          </cell>
          <cell r="E59">
            <v>4.0796785278446983E-3</v>
          </cell>
          <cell r="F59">
            <v>1.5203478052007609E-4</v>
          </cell>
          <cell r="G59">
            <v>2.0607646180200974E-3</v>
          </cell>
          <cell r="H59">
            <v>4.3764040195988366E-4</v>
          </cell>
          <cell r="I59">
            <v>1.3496113910159608E-3</v>
          </cell>
          <cell r="J59">
            <v>1.5145090981246381E-4</v>
          </cell>
        </row>
        <row r="60">
          <cell r="B60" t="str">
            <v>RHES-SHSTG-CHPNGA</v>
          </cell>
          <cell r="C60" t="str">
            <v>VAR_fin</v>
          </cell>
          <cell r="D60" t="str">
            <v>AUX_RES_CHPNGA_IN</v>
          </cell>
          <cell r="E60">
            <v>4.0796785278446983E-3</v>
          </cell>
          <cell r="F60">
            <v>1.5203478052007609E-4</v>
          </cell>
          <cell r="G60">
            <v>2.0607646180200974E-3</v>
          </cell>
          <cell r="H60">
            <v>4.3764040195988366E-4</v>
          </cell>
          <cell r="I60">
            <v>1.3496113910159608E-3</v>
          </cell>
          <cell r="J60">
            <v>1.5145090981246381E-4</v>
          </cell>
        </row>
        <row r="61">
          <cell r="B61" t="str">
            <v>RHES-SHSTG-CHPNGA</v>
          </cell>
          <cell r="C61" t="str">
            <v>VAR_ncap</v>
          </cell>
          <cell r="D61" t="str">
            <v>-</v>
          </cell>
          <cell r="E61">
            <v>1.18567701289266E-3</v>
          </cell>
          <cell r="F61">
            <v>1.4702704929569E-5</v>
          </cell>
          <cell r="G61">
            <v>9.91545179114502E-6</v>
          </cell>
          <cell r="H61">
            <v>9.0984174735931604E-6</v>
          </cell>
          <cell r="I61">
            <v>2.2090907562445E-5</v>
          </cell>
          <cell r="J61">
            <v>7.6738130547541306E-6</v>
          </cell>
        </row>
        <row r="62">
          <cell r="B62" t="str">
            <v>RHES-SHSTG-CHPNGA</v>
          </cell>
          <cell r="C62" t="str">
            <v>VAR_cap</v>
          </cell>
          <cell r="D62" t="str">
            <v>-</v>
          </cell>
          <cell r="E62">
            <v>1.18567701289266E-3</v>
          </cell>
          <cell r="F62">
            <v>1.1983245850457839E-3</v>
          </cell>
          <cell r="G62">
            <v>1.202361903595037E-3</v>
          </cell>
          <cell r="H62">
            <v>1.193389869673211E-3</v>
          </cell>
          <cell r="I62">
            <v>9.0682231806308591E-4</v>
          </cell>
          <cell r="J62">
            <v>3.9022549666829391E-4</v>
          </cell>
        </row>
        <row r="63">
          <cell r="B63" t="str">
            <v>RHNS-CHPWOD</v>
          </cell>
          <cell r="C63" t="str">
            <v>VAR_fout</v>
          </cell>
          <cell r="D63" t="str">
            <v>RHNS_LTH_CHPWOD</v>
          </cell>
          <cell r="H63">
            <v>1.0585922576182342E-3</v>
          </cell>
          <cell r="I63">
            <v>2.7187471960593177E-3</v>
          </cell>
          <cell r="J63">
            <v>1.1983364392838054E-3</v>
          </cell>
        </row>
        <row r="64">
          <cell r="B64" t="str">
            <v>RHNS-CHPWOD</v>
          </cell>
          <cell r="C64" t="str">
            <v>VAR_fout</v>
          </cell>
          <cell r="D64" t="str">
            <v>RHNS_KEV_WOD_ELC_CHP</v>
          </cell>
          <cell r="H64">
            <v>3.9213397378532171E-4</v>
          </cell>
          <cell r="I64">
            <v>1.0505142904316778E-3</v>
          </cell>
          <cell r="J64">
            <v>4.8216655052715237E-4</v>
          </cell>
        </row>
        <row r="65">
          <cell r="B65" t="str">
            <v>RHNS-CHPWOD</v>
          </cell>
          <cell r="C65" t="str">
            <v>VAR_fin</v>
          </cell>
          <cell r="D65" t="str">
            <v>RWOD</v>
          </cell>
          <cell r="H65">
            <v>1.745577650065894E-3</v>
          </cell>
          <cell r="I65">
            <v>4.6292019961641047E-3</v>
          </cell>
          <cell r="J65">
            <v>1.9362022854054891E-3</v>
          </cell>
        </row>
        <row r="66">
          <cell r="B66" t="str">
            <v>RHNS-CHPWOD</v>
          </cell>
          <cell r="C66" t="str">
            <v>VAR_ncap</v>
          </cell>
          <cell r="D66" t="str">
            <v>-</v>
          </cell>
          <cell r="H66">
            <v>3.4841797033061398E-5</v>
          </cell>
          <cell r="I66">
            <v>4.3924328100868599E-5</v>
          </cell>
          <cell r="J66">
            <v>1.9473617405371999E-7</v>
          </cell>
        </row>
        <row r="67">
          <cell r="B67" t="str">
            <v>RHNS-CHPWOD</v>
          </cell>
          <cell r="C67" t="str">
            <v>VAR_cap</v>
          </cell>
          <cell r="D67" t="str">
            <v>-</v>
          </cell>
          <cell r="H67">
            <v>3.4841797033061398E-5</v>
          </cell>
          <cell r="I67">
            <v>9.3217650381792434E-5</v>
          </cell>
          <cell r="J67">
            <v>4.2838056083317493E-5</v>
          </cell>
        </row>
        <row r="68">
          <cell r="B68" t="str">
            <v>D-ICOA</v>
          </cell>
          <cell r="C68" t="str">
            <v>VAR_fout</v>
          </cell>
          <cell r="D68" t="str">
            <v>ICOA</v>
          </cell>
          <cell r="E68">
            <v>3.5600271836583843</v>
          </cell>
          <cell r="F68">
            <v>3.4647231150722129</v>
          </cell>
          <cell r="G68">
            <v>1.106191130762066</v>
          </cell>
          <cell r="H68">
            <v>1.6777054979156893E-4</v>
          </cell>
          <cell r="I68">
            <v>6.4807298563390541E-4</v>
          </cell>
          <cell r="J68">
            <v>2.0141315688538322E-4</v>
          </cell>
        </row>
        <row r="69">
          <cell r="B69" t="str">
            <v>D-ICOA</v>
          </cell>
          <cell r="C69" t="str">
            <v>VAR_fout</v>
          </cell>
          <cell r="D69" t="str">
            <v>CO2</v>
          </cell>
          <cell r="E69">
            <v>330.01451992513199</v>
          </cell>
          <cell r="F69">
            <v>321.179832767194</v>
          </cell>
          <cell r="G69">
            <v>102.543917821644</v>
          </cell>
          <cell r="H69">
            <v>1.55523299656784E-2</v>
          </cell>
          <cell r="I69">
            <v>6.0076365768263099E-2</v>
          </cell>
          <cell r="J69">
            <v>1.8670999643275E-2</v>
          </cell>
        </row>
        <row r="70">
          <cell r="B70" t="str">
            <v>D-ICOA</v>
          </cell>
          <cell r="C70" t="str">
            <v>VAR_fin</v>
          </cell>
          <cell r="D70" t="str">
            <v>COA</v>
          </cell>
          <cell r="E70">
            <v>3.5600271836583843</v>
          </cell>
          <cell r="F70">
            <v>3.4647231150722129</v>
          </cell>
          <cell r="G70">
            <v>1.106191130762066</v>
          </cell>
          <cell r="H70">
            <v>1.6777054979156893E-4</v>
          </cell>
          <cell r="I70">
            <v>6.4807298563390541E-4</v>
          </cell>
          <cell r="J70">
            <v>2.0141315688538322E-4</v>
          </cell>
        </row>
        <row r="71">
          <cell r="B71" t="str">
            <v>RHNM-SHSTG-CHPWOD</v>
          </cell>
          <cell r="C71" t="str">
            <v>VAR_fout</v>
          </cell>
          <cell r="D71" t="str">
            <v>RHNM_LTH_CHPWOD</v>
          </cell>
          <cell r="E71">
            <v>3.7066418596654364E-4</v>
          </cell>
          <cell r="F71">
            <v>2.2820938146738987E-4</v>
          </cell>
          <cell r="G71">
            <v>1.4600366375466884E-4</v>
          </cell>
          <cell r="H71">
            <v>2.9139578809781781E-4</v>
          </cell>
          <cell r="I71">
            <v>1.6555015822489035E-2</v>
          </cell>
          <cell r="J71">
            <v>3.8979515861534901E-3</v>
          </cell>
        </row>
        <row r="72">
          <cell r="B72" t="str">
            <v>RHNM-SHSTG-CHPWOD</v>
          </cell>
          <cell r="C72" t="str">
            <v>VAR_fout</v>
          </cell>
          <cell r="D72" t="str">
            <v>AUX_RNM-CHPWOD_OUT</v>
          </cell>
          <cell r="E72">
            <v>3.7066418596654434E-4</v>
          </cell>
          <cell r="F72">
            <v>2.2805734323856454E-4</v>
          </cell>
          <cell r="G72">
            <v>1.4585173486418546E-4</v>
          </cell>
          <cell r="H72">
            <v>2.9139578809781781E-4</v>
          </cell>
          <cell r="I72">
            <v>1.6555015822489104E-2</v>
          </cell>
          <cell r="J72">
            <v>3.8979515861534927E-3</v>
          </cell>
        </row>
        <row r="73">
          <cell r="B73" t="str">
            <v>RHNM-SHSTG-CHPWOD</v>
          </cell>
          <cell r="C73" t="str">
            <v>VAR_fin</v>
          </cell>
          <cell r="D73" t="str">
            <v>RHNM_LTH_CHPWOD</v>
          </cell>
          <cell r="E73">
            <v>2.9129509217976096E-4</v>
          </cell>
          <cell r="F73">
            <v>1.3997004416564185E-4</v>
          </cell>
          <cell r="G73">
            <v>1.1555215286577755E-4</v>
          </cell>
          <cell r="H73">
            <v>3.6650502522414302E-4</v>
          </cell>
          <cell r="I73">
            <v>1.9478760670279236E-2</v>
          </cell>
          <cell r="J73">
            <v>4.3334114137351292E-3</v>
          </cell>
        </row>
        <row r="74">
          <cell r="B74" t="str">
            <v>RHNM-SHSTG-CHPWOD</v>
          </cell>
          <cell r="C74" t="str">
            <v>VAR_fin</v>
          </cell>
          <cell r="D74" t="str">
            <v>AUX_RNM-CHPWOD_IN</v>
          </cell>
          <cell r="E74">
            <v>2.9129509217976096E-4</v>
          </cell>
          <cell r="F74">
            <v>1.3997004416564185E-4</v>
          </cell>
          <cell r="G74">
            <v>1.1555215286577755E-4</v>
          </cell>
          <cell r="H74">
            <v>3.6650502522414302E-4</v>
          </cell>
          <cell r="I74">
            <v>1.9478760670279236E-2</v>
          </cell>
          <cell r="J74">
            <v>4.3334114137351292E-3</v>
          </cell>
        </row>
        <row r="75">
          <cell r="B75" t="str">
            <v>RHNM-SHSTG-CHPWOD</v>
          </cell>
          <cell r="C75" t="str">
            <v>VAR_ncap</v>
          </cell>
          <cell r="D75" t="str">
            <v>-</v>
          </cell>
          <cell r="E75">
            <v>1.1580596790731301E-3</v>
          </cell>
          <cell r="F75">
            <v>2.4942042081093699E-5</v>
          </cell>
          <cell r="G75">
            <v>3.18817024766097E-5</v>
          </cell>
          <cell r="H75">
            <v>6.7714623770981505E-5</v>
          </cell>
          <cell r="I75">
            <v>9.5472352418204901E-3</v>
          </cell>
          <cell r="J75">
            <v>2.3400204914533099E-5</v>
          </cell>
        </row>
        <row r="76">
          <cell r="B76" t="str">
            <v>RHNM-SHSTG-CHPWOD</v>
          </cell>
          <cell r="C76" t="str">
            <v>VAR_cap</v>
          </cell>
          <cell r="D76" t="str">
            <v>-</v>
          </cell>
          <cell r="E76">
            <v>1.1580596790731301E-3</v>
          </cell>
          <cell r="F76">
            <v>1.1796846809137484E-3</v>
          </cell>
          <cell r="G76">
            <v>1.2030474875580669E-3</v>
          </cell>
          <cell r="H76">
            <v>1.2583359364365561E-3</v>
          </cell>
          <cell r="I76">
            <v>1.2001896292696154E-2</v>
          </cell>
          <cell r="J76">
            <v>2.7265006165508605E-3</v>
          </cell>
        </row>
        <row r="77">
          <cell r="B77" t="str">
            <v>CHPWSTCCS</v>
          </cell>
          <cell r="C77" t="str">
            <v>VAR_fout</v>
          </cell>
          <cell r="D77" t="str">
            <v>ELC35</v>
          </cell>
          <cell r="I77">
            <v>0.43034446692561606</v>
          </cell>
          <cell r="J77">
            <v>0.71886975600731162</v>
          </cell>
        </row>
        <row r="78">
          <cell r="B78" t="str">
            <v>CHPWSTCCS</v>
          </cell>
          <cell r="C78" t="str">
            <v>VAR_fout</v>
          </cell>
          <cell r="D78" t="str">
            <v>CO2_O</v>
          </cell>
          <cell r="I78">
            <v>736.75187718692894</v>
          </cell>
          <cell r="J78">
            <v>1099.497979410294</v>
          </cell>
        </row>
        <row r="79">
          <cell r="B79" t="str">
            <v>CHPWSTCCS</v>
          </cell>
          <cell r="C79" t="str">
            <v>VAR_fout</v>
          </cell>
          <cell r="D79" t="str">
            <v>CO2</v>
          </cell>
          <cell r="I79">
            <v>-736.75187718692905</v>
          </cell>
          <cell r="J79">
            <v>-1099.4979794102901</v>
          </cell>
        </row>
        <row r="80">
          <cell r="B80" t="str">
            <v>CHPWSTCCS</v>
          </cell>
          <cell r="C80" t="str">
            <v>VAR_fout</v>
          </cell>
          <cell r="D80" t="str">
            <v>LTH</v>
          </cell>
          <cell r="I80">
            <v>4.0377799336840354</v>
          </cell>
          <cell r="J80">
            <v>6.3691860382247816</v>
          </cell>
        </row>
        <row r="81">
          <cell r="B81" t="str">
            <v>CHPWSTCCS</v>
          </cell>
          <cell r="C81" t="str">
            <v>VAR_fout</v>
          </cell>
          <cell r="D81" t="str">
            <v>CO2_E</v>
          </cell>
          <cell r="I81">
            <v>827.81109796284204</v>
          </cell>
          <cell r="J81">
            <v>1235.3909881014499</v>
          </cell>
        </row>
        <row r="82">
          <cell r="B82" t="str">
            <v>CHPWSTCCS</v>
          </cell>
          <cell r="C82" t="str">
            <v>VAR_fin</v>
          </cell>
          <cell r="D82" t="str">
            <v>EWST</v>
          </cell>
          <cell r="I82">
            <v>8.9203782108064846</v>
          </cell>
          <cell r="J82">
            <v>13.312402889024291</v>
          </cell>
        </row>
        <row r="83">
          <cell r="B83" t="str">
            <v>CHPWSTCCS</v>
          </cell>
          <cell r="C83" t="str">
            <v>VAR_ncap</v>
          </cell>
          <cell r="D83" t="str">
            <v>-</v>
          </cell>
          <cell r="I83">
            <v>2.35135907511939E-2</v>
          </cell>
          <cell r="J83">
            <v>1.57623701344804E-2</v>
          </cell>
        </row>
        <row r="84">
          <cell r="B84" t="str">
            <v>CHPWSTCCS</v>
          </cell>
          <cell r="C84" t="str">
            <v>VAR_cap</v>
          </cell>
          <cell r="D84" t="str">
            <v>-</v>
          </cell>
          <cell r="I84">
            <v>2.35135907511939E-2</v>
          </cell>
          <cell r="J84">
            <v>3.9275945688945303E-2</v>
          </cell>
        </row>
        <row r="85">
          <cell r="B85" t="str">
            <v>D-ENGA</v>
          </cell>
          <cell r="C85" t="str">
            <v>VAR_fout</v>
          </cell>
          <cell r="D85" t="str">
            <v>CO2</v>
          </cell>
          <cell r="E85">
            <v>311.21230517342502</v>
          </cell>
          <cell r="F85">
            <v>159.06308793698901</v>
          </cell>
          <cell r="G85">
            <v>30.724376081301902</v>
          </cell>
          <cell r="J85"/>
        </row>
        <row r="86">
          <cell r="B86" t="str">
            <v>D-ENGA</v>
          </cell>
          <cell r="C86" t="str">
            <v>VAR_fout</v>
          </cell>
          <cell r="D86" t="str">
            <v>ENGA</v>
          </cell>
          <cell r="E86">
            <v>5.7018227835791597</v>
          </cell>
          <cell r="F86">
            <v>2.8112992663356042</v>
          </cell>
          <cell r="G86">
            <v>0.59940652871322819</v>
          </cell>
          <cell r="I86">
            <v>2.943806298747651E-5</v>
          </cell>
          <cell r="J86">
            <v>7.2984638625642723E-2</v>
          </cell>
        </row>
        <row r="87">
          <cell r="B87" t="str">
            <v>D-ENGA</v>
          </cell>
          <cell r="C87" t="str">
            <v>VAR_fout</v>
          </cell>
          <cell r="D87" t="str">
            <v>EH2</v>
          </cell>
          <cell r="I87">
            <v>1.1233768981945638E-5</v>
          </cell>
          <cell r="J87">
            <v>2.0323557384362258E-3</v>
          </cell>
        </row>
        <row r="88">
          <cell r="B88" t="str">
            <v>D-ENGA</v>
          </cell>
          <cell r="C88" t="str">
            <v>VAR_fin</v>
          </cell>
          <cell r="D88" t="str">
            <v>NGA</v>
          </cell>
          <cell r="E88">
            <v>5.517948673287691</v>
          </cell>
          <cell r="F88">
            <v>2.8202675166132845</v>
          </cell>
          <cell r="G88">
            <v>0.54475844115783612</v>
          </cell>
          <cell r="J88"/>
        </row>
        <row r="89">
          <cell r="B89" t="str">
            <v>D-ENGA</v>
          </cell>
          <cell r="C89" t="str">
            <v>VAR_fin</v>
          </cell>
          <cell r="D89" t="str">
            <v>BNGA</v>
          </cell>
          <cell r="E89">
            <v>0.20208926504356003</v>
          </cell>
          <cell r="F89">
            <v>4.7923906259003607E-5</v>
          </cell>
          <cell r="G89">
            <v>5.656502485754375E-2</v>
          </cell>
          <cell r="I89">
            <v>2.6834129479241752E-5</v>
          </cell>
          <cell r="J89">
            <v>7.3224440263789825E-2</v>
          </cell>
        </row>
        <row r="90">
          <cell r="B90" t="str">
            <v>D-ENGA</v>
          </cell>
          <cell r="C90" t="str">
            <v>VAR_fin</v>
          </cell>
          <cell r="D90" t="str">
            <v>H2</v>
          </cell>
          <cell r="I90">
            <v>1.0768066921003471E-6</v>
          </cell>
          <cell r="J90">
            <v>2.0278488829835232E-3</v>
          </cell>
        </row>
        <row r="91">
          <cell r="B91" t="str">
            <v>D-ENGA</v>
          </cell>
          <cell r="C91" t="str">
            <v>VAR_ncap</v>
          </cell>
          <cell r="D91" t="str">
            <v>-</v>
          </cell>
          <cell r="E91">
            <v>7.1509885404594202E-7</v>
          </cell>
          <cell r="F91">
            <v>1.6385750562290299E-7</v>
          </cell>
          <cell r="G91">
            <v>1.89177383623068E-7</v>
          </cell>
          <cell r="H91">
            <v>2.5409497120097201E-7</v>
          </cell>
          <cell r="I91">
            <v>9.1918312018700104E-7</v>
          </cell>
          <cell r="J91">
            <v>1.2415630155900299E-6</v>
          </cell>
        </row>
        <row r="92">
          <cell r="B92" t="str">
            <v>D-ENGA</v>
          </cell>
          <cell r="C92" t="str">
            <v>VAR_cap</v>
          </cell>
          <cell r="D92" t="str">
            <v>-</v>
          </cell>
          <cell r="E92">
            <v>1.0275127096398342</v>
          </cell>
          <cell r="F92">
            <v>1.0275128734973398</v>
          </cell>
          <cell r="G92">
            <v>1.0275130626747233</v>
          </cell>
          <cell r="H92">
            <v>1.0275133167696946</v>
          </cell>
          <cell r="I92">
            <v>1.0275147644857718</v>
          </cell>
          <cell r="J92">
            <v>0.72468069282256731</v>
          </cell>
        </row>
        <row r="93">
          <cell r="B93" t="str">
            <v>D-ILFO</v>
          </cell>
          <cell r="C93" t="str">
            <v>VAR_fout</v>
          </cell>
          <cell r="D93" t="str">
            <v>CO2</v>
          </cell>
          <cell r="E93">
            <v>688.91591836512703</v>
          </cell>
          <cell r="F93">
            <v>659.57627639537895</v>
          </cell>
          <cell r="G93">
            <v>602.63658619310797</v>
          </cell>
          <cell r="H93">
            <v>506.18838422037601</v>
          </cell>
          <cell r="I93">
            <v>206.098750422325</v>
          </cell>
          <cell r="J93">
            <v>4.3657711158121601E-4</v>
          </cell>
        </row>
        <row r="94">
          <cell r="B94" t="str">
            <v>D-ILFO</v>
          </cell>
          <cell r="C94" t="str">
            <v>VAR_fout</v>
          </cell>
          <cell r="D94" t="str">
            <v>ILFO</v>
          </cell>
          <cell r="E94">
            <v>9.1914548123334967</v>
          </cell>
          <cell r="F94">
            <v>8.8000079228278079</v>
          </cell>
          <cell r="G94">
            <v>8.0403812209495449</v>
          </cell>
          <cell r="H94">
            <v>6.9784662098747763</v>
          </cell>
          <cell r="I94">
            <v>2.9746750757930913</v>
          </cell>
          <cell r="J94">
            <v>0.22493045138776546</v>
          </cell>
        </row>
        <row r="95">
          <cell r="B95" t="str">
            <v>D-ILFO</v>
          </cell>
          <cell r="C95" t="str">
            <v>VAR_fin</v>
          </cell>
          <cell r="D95" t="str">
            <v>LFO</v>
          </cell>
          <cell r="E95">
            <v>9.3475701270709202</v>
          </cell>
          <cell r="F95">
            <v>8.9494745779562841</v>
          </cell>
          <cell r="G95">
            <v>8.1768871939363432</v>
          </cell>
          <cell r="H95">
            <v>6.8682277370471621</v>
          </cell>
          <cell r="I95">
            <v>2.7964552296109262</v>
          </cell>
          <cell r="J95">
            <v>5.9237057202336008E-6</v>
          </cell>
        </row>
        <row r="96">
          <cell r="B96" t="str">
            <v>D-ILFO</v>
          </cell>
          <cell r="C96" t="str">
            <v>VAR_fin</v>
          </cell>
          <cell r="D96" t="str">
            <v>BDS</v>
          </cell>
          <cell r="G96">
            <v>5.8550317294158273E-5</v>
          </cell>
          <cell r="H96">
            <v>0.22876662193780398</v>
          </cell>
          <cell r="I96">
            <v>0.22876736932374819</v>
          </cell>
          <cell r="J96">
            <v>0.22876769844403308</v>
          </cell>
        </row>
        <row r="97">
          <cell r="B97" t="str">
            <v>HPLNGA</v>
          </cell>
          <cell r="C97" t="str">
            <v>VAR_fout</v>
          </cell>
          <cell r="D97" t="str">
            <v>LTH</v>
          </cell>
          <cell r="E97">
            <v>1.732909558024573</v>
          </cell>
          <cell r="F97">
            <v>2.4015586836574809</v>
          </cell>
          <cell r="G97">
            <v>0.50950435632666902</v>
          </cell>
          <cell r="J97"/>
        </row>
        <row r="98">
          <cell r="B98" t="str">
            <v>HPLNGA</v>
          </cell>
          <cell r="C98" t="str">
            <v>VAR_fout</v>
          </cell>
          <cell r="D98" t="str">
            <v>CO2_E</v>
          </cell>
          <cell r="E98">
            <v>114.384137024918</v>
          </cell>
          <cell r="F98">
            <v>158.51965053387099</v>
          </cell>
          <cell r="G98">
            <v>33.630846941197397</v>
          </cell>
          <cell r="J98"/>
        </row>
        <row r="99">
          <cell r="B99" t="str">
            <v>HPLNGA</v>
          </cell>
          <cell r="C99" t="str">
            <v>VAR_fin</v>
          </cell>
          <cell r="D99" t="str">
            <v>ENGA</v>
          </cell>
          <cell r="E99">
            <v>2.0280875359028041</v>
          </cell>
          <cell r="F99">
            <v>2.8106321016643734</v>
          </cell>
          <cell r="G99">
            <v>0.59629161243257855</v>
          </cell>
          <cell r="J99"/>
        </row>
        <row r="100">
          <cell r="B100" t="str">
            <v>HPLNGA</v>
          </cell>
          <cell r="C100" t="str">
            <v>VAR_ncap</v>
          </cell>
          <cell r="D100" t="str">
            <v>-</v>
          </cell>
          <cell r="E100">
            <v>7.9941733601633103E-7</v>
          </cell>
          <cell r="F100">
            <v>8.5279415457053004E-7</v>
          </cell>
          <cell r="G100">
            <v>8.4245456523246504E-7</v>
          </cell>
          <cell r="H100">
            <v>6.7789776357717697E-7</v>
          </cell>
          <cell r="I100">
            <v>1.1578737009061E-6</v>
          </cell>
          <cell r="J100">
            <v>9.1762784477573099E-7</v>
          </cell>
        </row>
        <row r="101">
          <cell r="B101" t="str">
            <v>HPLNGA</v>
          </cell>
          <cell r="C101" t="str">
            <v>VAR_cap</v>
          </cell>
          <cell r="D101" t="str">
            <v>-</v>
          </cell>
          <cell r="E101">
            <v>0.30472492796497697</v>
          </cell>
          <cell r="F101">
            <v>0.30462653856109861</v>
          </cell>
          <cell r="G101">
            <v>6.4671333064942771E-2</v>
          </cell>
          <cell r="H101">
            <v>4.9491906684018261E-6</v>
          </cell>
          <cell r="I101">
            <v>-1.3529427466770496E-6</v>
          </cell>
          <cell r="J101">
            <v>1.3394846473388601E-6</v>
          </cell>
        </row>
        <row r="102">
          <cell r="B102" t="str">
            <v>G-INTC-IMP00-AT</v>
          </cell>
          <cell r="C102" t="str">
            <v>VAR_fout</v>
          </cell>
          <cell r="D102" t="str">
            <v>ELC</v>
          </cell>
          <cell r="E102">
            <v>15.013814141465092</v>
          </cell>
          <cell r="F102">
            <v>4.3204928735125563</v>
          </cell>
          <cell r="G102">
            <v>2.0307765689723114</v>
          </cell>
          <cell r="H102">
            <v>2.9115626485468815</v>
          </cell>
          <cell r="I102">
            <v>1.9081917742478123</v>
          </cell>
          <cell r="J102">
            <v>3.7335547971060401</v>
          </cell>
        </row>
        <row r="103">
          <cell r="B103" t="str">
            <v>G-INTC-IMP00-AT</v>
          </cell>
          <cell r="C103" t="str">
            <v>VAR_fin</v>
          </cell>
          <cell r="D103" t="str">
            <v>ELC_I-AT</v>
          </cell>
          <cell r="E103">
            <v>15.013814141465092</v>
          </cell>
          <cell r="F103">
            <v>4.3204928735125563</v>
          </cell>
          <cell r="G103">
            <v>2.0307765689723114</v>
          </cell>
          <cell r="H103">
            <v>2.9115626485468815</v>
          </cell>
          <cell r="I103">
            <v>1.9081917742478123</v>
          </cell>
          <cell r="J103">
            <v>3.7335547971060401</v>
          </cell>
        </row>
        <row r="104">
          <cell r="B104" t="str">
            <v>G-INTC-IMP00-AT</v>
          </cell>
          <cell r="C104" t="str">
            <v>VAR_ncap</v>
          </cell>
          <cell r="D104" t="str">
            <v>-</v>
          </cell>
          <cell r="E104">
            <v>5.4257655863359397E-7</v>
          </cell>
          <cell r="F104">
            <v>4.8684458221099896E-7</v>
          </cell>
          <cell r="G104">
            <v>6.8317155671397797E-7</v>
          </cell>
          <cell r="H104">
            <v>8.3166457164386504E-7</v>
          </cell>
          <cell r="I104">
            <v>5.57843029820631E-3</v>
          </cell>
          <cell r="J104">
            <v>5.5709533869678796E-3</v>
          </cell>
        </row>
        <row r="105">
          <cell r="B105" t="str">
            <v>G-INTC-IMP00-AT</v>
          </cell>
          <cell r="C105" t="str">
            <v>VAR_cap</v>
          </cell>
          <cell r="D105" t="str">
            <v>-</v>
          </cell>
          <cell r="E105">
            <v>0.557026428324082</v>
          </cell>
          <cell r="F105">
            <v>0.53282978285272098</v>
          </cell>
          <cell r="G105">
            <v>0.53282817213870093</v>
          </cell>
          <cell r="H105">
            <v>0.53282831350159288</v>
          </cell>
          <cell r="I105">
            <v>0.53282880529420529</v>
          </cell>
          <cell r="J105">
            <v>0.54320832581232725</v>
          </cell>
        </row>
        <row r="106">
          <cell r="B106" t="str">
            <v>CHPWST</v>
          </cell>
          <cell r="C106" t="str">
            <v>VAR_fout</v>
          </cell>
          <cell r="D106" t="str">
            <v>ELC35</v>
          </cell>
          <cell r="E106">
            <v>1.4349610985608783</v>
          </cell>
          <cell r="F106">
            <v>1.2995356935380169</v>
          </cell>
          <cell r="G106">
            <v>1.3189132098312952</v>
          </cell>
          <cell r="H106">
            <v>1.2901767764266898</v>
          </cell>
          <cell r="I106">
            <v>0.83162756691315642</v>
          </cell>
          <cell r="J106">
            <v>0.50746151627245584</v>
          </cell>
        </row>
        <row r="107">
          <cell r="B107" t="str">
            <v>CHPWST</v>
          </cell>
          <cell r="C107" t="str">
            <v>VAR_fout</v>
          </cell>
          <cell r="D107" t="str">
            <v>LTH</v>
          </cell>
          <cell r="E107">
            <v>14.461270338518023</v>
          </cell>
          <cell r="F107">
            <v>13.051651043156513</v>
          </cell>
          <cell r="G107">
            <v>13.178021996597375</v>
          </cell>
          <cell r="H107">
            <v>12.779638516520453</v>
          </cell>
          <cell r="I107">
            <v>7.8028866641866967</v>
          </cell>
          <cell r="J107">
            <v>4.4961090341739567</v>
          </cell>
        </row>
        <row r="108">
          <cell r="B108" t="str">
            <v>CHPWST</v>
          </cell>
          <cell r="C108" t="str">
            <v>VAR_fout</v>
          </cell>
          <cell r="D108" t="str">
            <v>CO2_E</v>
          </cell>
          <cell r="E108">
            <v>2843.2575576962099</v>
          </cell>
          <cell r="F108">
            <v>2574.9232406743199</v>
          </cell>
          <cell r="G108">
            <v>2613.3181976564301</v>
          </cell>
          <cell r="H108">
            <v>2556.3793151035702</v>
          </cell>
          <cell r="I108">
            <v>1647.8017189356101</v>
          </cell>
          <cell r="J108">
            <v>1005.49331464711</v>
          </cell>
        </row>
        <row r="109">
          <cell r="B109" t="str">
            <v>CHPWST</v>
          </cell>
          <cell r="C109" t="str">
            <v>VAR_fin</v>
          </cell>
          <cell r="D109" t="str">
            <v>EWST</v>
          </cell>
          <cell r="E109">
            <v>30.638551268278135</v>
          </cell>
          <cell r="F109">
            <v>27.747017679680177</v>
          </cell>
          <cell r="G109">
            <v>28.160756440263206</v>
          </cell>
          <cell r="H109">
            <v>27.547190895512589</v>
          </cell>
          <cell r="I109">
            <v>17.756484040254399</v>
          </cell>
          <cell r="J109">
            <v>10.835057269904235</v>
          </cell>
        </row>
        <row r="110">
          <cell r="B110" t="str">
            <v>CHPWST</v>
          </cell>
          <cell r="C110" t="str">
            <v>VAR_ncap</v>
          </cell>
          <cell r="D110" t="str">
            <v>-</v>
          </cell>
          <cell r="F110">
            <v>4.9144944482681E-8</v>
          </cell>
          <cell r="G110">
            <v>4.3106009289414001E-8</v>
          </cell>
          <cell r="H110">
            <v>1.04882179071021E-7</v>
          </cell>
          <cell r="I110">
            <v>9.6480868179148103E-7</v>
          </cell>
          <cell r="J110">
            <v>5.6043144756999404E-3</v>
          </cell>
        </row>
        <row r="111">
          <cell r="B111" t="str">
            <v>CHPWST</v>
          </cell>
          <cell r="C111" t="str">
            <v>VAR_cap</v>
          </cell>
          <cell r="D111" t="str">
            <v>-</v>
          </cell>
          <cell r="E111">
            <v>7.8399999999999997E-2</v>
          </cell>
          <cell r="F111">
            <v>7.2060270774505913E-2</v>
          </cell>
          <cell r="G111">
            <v>7.2059801377161781E-2</v>
          </cell>
          <cell r="H111">
            <v>7.0489751076416654E-2</v>
          </cell>
          <cell r="I111">
            <v>5.0471152967599513E-2</v>
          </cell>
          <cell r="J111">
            <v>2.7831862669734121E-2</v>
          </cell>
        </row>
        <row r="112">
          <cell r="B112" t="str">
            <v>RHES-CHPNGA</v>
          </cell>
          <cell r="C112" t="str">
            <v>VAR_fout</v>
          </cell>
          <cell r="D112" t="str">
            <v>CO2_R</v>
          </cell>
          <cell r="E112">
            <v>3.30250777998635</v>
          </cell>
          <cell r="F112">
            <v>0.38722346461822499</v>
          </cell>
          <cell r="G112">
            <v>0.58139057338234701</v>
          </cell>
          <cell r="H112">
            <v>1.2768329045873399</v>
          </cell>
          <cell r="I112">
            <v>0.31787967517066101</v>
          </cell>
          <cell r="J112"/>
        </row>
        <row r="113">
          <cell r="B113" t="str">
            <v>RHES-CHPNGA</v>
          </cell>
          <cell r="C113" t="str">
            <v>VAR_fout</v>
          </cell>
          <cell r="D113" t="str">
            <v>RHES_NKEV_GAS_ELC_CHP</v>
          </cell>
          <cell r="E113">
            <v>1.3548999175948095E-2</v>
          </cell>
          <cell r="F113">
            <v>1.8517787000439268E-3</v>
          </cell>
          <cell r="G113">
            <v>2.3832106341483954E-3</v>
          </cell>
          <cell r="H113">
            <v>6.1955371149128372E-3</v>
          </cell>
          <cell r="I113">
            <v>1.4650554470099423E-3</v>
          </cell>
          <cell r="J113"/>
        </row>
        <row r="114">
          <cell r="B114" t="str">
            <v>RHES-CHPNGA</v>
          </cell>
          <cell r="C114" t="str">
            <v>VAR_fout</v>
          </cell>
          <cell r="D114" t="str">
            <v>RHES_LTH_CHPNGA</v>
          </cell>
          <cell r="E114">
            <v>3.261796097913431E-2</v>
          </cell>
          <cell r="F114">
            <v>4.412916013226376E-3</v>
          </cell>
          <cell r="G114">
            <v>5.5923487632000817E-3</v>
          </cell>
          <cell r="H114">
            <v>1.4161227691229373E-2</v>
          </cell>
          <cell r="I114">
            <v>3.2899490739872377E-3</v>
          </cell>
          <cell r="J114"/>
        </row>
        <row r="115">
          <cell r="B115" t="str">
            <v>RHES-CHPNGA</v>
          </cell>
          <cell r="C115" t="str">
            <v>VAR_fin</v>
          </cell>
          <cell r="D115" t="str">
            <v>RNGA</v>
          </cell>
          <cell r="E115">
            <v>5.8555102482027367E-2</v>
          </cell>
          <cell r="F115">
            <v>6.8656642662805771E-3</v>
          </cell>
          <cell r="G115">
            <v>1.0308343499686991E-2</v>
          </cell>
          <cell r="H115">
            <v>2.2638881287009541E-2</v>
          </cell>
          <cell r="I115">
            <v>5.6361644533805266E-3</v>
          </cell>
          <cell r="J115"/>
        </row>
        <row r="116">
          <cell r="B116" t="str">
            <v>RHES-CHPNGA</v>
          </cell>
          <cell r="C116" t="str">
            <v>VAR_ncap</v>
          </cell>
          <cell r="D116" t="str">
            <v>-</v>
          </cell>
          <cell r="F116">
            <v>1.4686077939550099E-5</v>
          </cell>
          <cell r="J116"/>
        </row>
        <row r="117">
          <cell r="B117" t="str">
            <v>RHES-CHPNGA</v>
          </cell>
          <cell r="C117" t="str">
            <v>VAR_cap</v>
          </cell>
          <cell r="D117" t="str">
            <v>-</v>
          </cell>
          <cell r="E117">
            <v>3.9346229306833737E-3</v>
          </cell>
          <cell r="F117">
            <v>5.5764501547002007E-4</v>
          </cell>
          <cell r="G117">
            <v>5.5764658720267512E-4</v>
          </cell>
          <cell r="H117">
            <v>5.5059038322301907E-4</v>
          </cell>
          <cell r="I117">
            <v>1.3006542797929012E-4</v>
          </cell>
          <cell r="J117"/>
        </row>
        <row r="118">
          <cell r="B118" t="str">
            <v>RHEM-CHPWOD</v>
          </cell>
          <cell r="C118" t="str">
            <v>VAR_fout</v>
          </cell>
          <cell r="D118" t="str">
            <v>RHEM_KEV_WOD_ELC_CHP</v>
          </cell>
          <cell r="H118">
            <v>9.1571363872982475E-4</v>
          </cell>
          <cell r="I118">
            <v>0.17796349505882691</v>
          </cell>
          <cell r="J118">
            <v>0.11592113589062791</v>
          </cell>
        </row>
        <row r="119">
          <cell r="B119" t="str">
            <v>RHEM-CHPWOD</v>
          </cell>
          <cell r="C119" t="str">
            <v>VAR_fout</v>
          </cell>
          <cell r="D119" t="str">
            <v>RHEM_LTH_CHPWOD</v>
          </cell>
          <cell r="H119">
            <v>2.4358884971138212E-3</v>
          </cell>
          <cell r="I119">
            <v>0.4734004302057469</v>
          </cell>
          <cell r="J119">
            <v>0.30836164227063606</v>
          </cell>
        </row>
        <row r="120">
          <cell r="B120" t="str">
            <v>RHEM-CHPWOD</v>
          </cell>
          <cell r="C120" t="str">
            <v>VAR_fin</v>
          </cell>
          <cell r="D120" t="str">
            <v>RWOD</v>
          </cell>
          <cell r="H120">
            <v>3.5974104423976967E-3</v>
          </cell>
          <cell r="I120">
            <v>0.65007722235302878</v>
          </cell>
          <cell r="J120">
            <v>0.40657730183433999</v>
          </cell>
        </row>
        <row r="121">
          <cell r="B121" t="str">
            <v>RHEM-CHPWOD</v>
          </cell>
          <cell r="C121" t="str">
            <v>VAR_ncap</v>
          </cell>
          <cell r="D121" t="str">
            <v>-</v>
          </cell>
          <cell r="H121">
            <v>6.7947198970089704E-5</v>
          </cell>
          <cell r="I121">
            <v>1.0026859155170299E-2</v>
          </cell>
          <cell r="J121">
            <v>1.6530924941301299E-7</v>
          </cell>
        </row>
        <row r="122">
          <cell r="B122" t="str">
            <v>RHEM-CHPWOD</v>
          </cell>
          <cell r="C122" t="str">
            <v>VAR_cap</v>
          </cell>
          <cell r="D122" t="str">
            <v>-</v>
          </cell>
          <cell r="H122">
            <v>6.7947198970089704E-5</v>
          </cell>
          <cell r="I122">
            <v>1.3205338563249271E-2</v>
          </cell>
          <cell r="J122">
            <v>8.6017527654017115E-3</v>
          </cell>
        </row>
        <row r="123">
          <cell r="B123" t="str">
            <v>G-INTC-IMP00-FR</v>
          </cell>
          <cell r="C123" t="str">
            <v>VAR_fout</v>
          </cell>
          <cell r="D123" t="str">
            <v>ELC</v>
          </cell>
          <cell r="E123">
            <v>28.94862936472105</v>
          </cell>
          <cell r="F123">
            <v>20.217566815582675</v>
          </cell>
          <cell r="G123">
            <v>25.378443032155136</v>
          </cell>
          <cell r="H123">
            <v>16.825877380270427</v>
          </cell>
          <cell r="I123">
            <v>11.17109182773166</v>
          </cell>
          <cell r="J123">
            <v>10.037705918001192</v>
          </cell>
        </row>
        <row r="124">
          <cell r="B124" t="str">
            <v>G-INTC-IMP00-FR</v>
          </cell>
          <cell r="C124" t="str">
            <v>VAR_fin</v>
          </cell>
          <cell r="D124" t="str">
            <v>ELC_I-FR</v>
          </cell>
          <cell r="E124">
            <v>28.94862936472105</v>
          </cell>
          <cell r="F124">
            <v>20.217566815582675</v>
          </cell>
          <cell r="G124">
            <v>25.378443032155136</v>
          </cell>
          <cell r="H124">
            <v>16.825877380270427</v>
          </cell>
          <cell r="I124">
            <v>11.17109182773166</v>
          </cell>
          <cell r="J124">
            <v>10.037705918001192</v>
          </cell>
        </row>
        <row r="125">
          <cell r="B125" t="str">
            <v>G-INTC-IMP00-FR</v>
          </cell>
          <cell r="C125" t="str">
            <v>VAR_ncap</v>
          </cell>
          <cell r="D125" t="str">
            <v>-</v>
          </cell>
          <cell r="E125">
            <v>7.3995735777822403E-7</v>
          </cell>
          <cell r="F125">
            <v>6.5764569095481895E-7</v>
          </cell>
          <cell r="G125">
            <v>7.0633739521400101E-7</v>
          </cell>
          <cell r="H125">
            <v>5.9385391761734605E-7</v>
          </cell>
          <cell r="I125">
            <v>6.8117300668273699E-7</v>
          </cell>
          <cell r="J125">
            <v>1.0070589565914499E-6</v>
          </cell>
        </row>
        <row r="126">
          <cell r="B126" t="str">
            <v>G-INTC-IMP00-FR</v>
          </cell>
          <cell r="C126" t="str">
            <v>VAR_cap</v>
          </cell>
          <cell r="D126" t="str">
            <v>-</v>
          </cell>
          <cell r="E126">
            <v>1.6999990822221842</v>
          </cell>
          <cell r="F126">
            <v>1.6999984670759265</v>
          </cell>
          <cell r="G126">
            <v>1.6999982110149034</v>
          </cell>
          <cell r="H126">
            <v>1.6999986089122672</v>
          </cell>
          <cell r="I126">
            <v>1.2000000041772285</v>
          </cell>
          <cell r="J126">
            <v>1.1999999073316099</v>
          </cell>
        </row>
        <row r="127">
          <cell r="B127" t="str">
            <v>ITOT-CHPWSTCCS</v>
          </cell>
          <cell r="C127" t="str">
            <v>VAR_fout</v>
          </cell>
          <cell r="D127" t="str">
            <v>CO2_O</v>
          </cell>
          <cell r="I127">
            <v>125.79888043790878</v>
          </cell>
          <cell r="J127">
            <v>715.09676216945456</v>
          </cell>
        </row>
        <row r="128">
          <cell r="B128" t="str">
            <v>ITOT-CHPWSTCCS</v>
          </cell>
          <cell r="C128" t="str">
            <v>VAR_fout</v>
          </cell>
          <cell r="D128" t="str">
            <v>CO2</v>
          </cell>
          <cell r="I128">
            <v>-125.79888043790901</v>
          </cell>
          <cell r="J128">
            <v>-715.096762169454</v>
          </cell>
        </row>
        <row r="129">
          <cell r="B129" t="str">
            <v>ITOT-CHPWSTCCS</v>
          </cell>
          <cell r="C129" t="str">
            <v>VAR_fout</v>
          </cell>
          <cell r="D129" t="str">
            <v>ITOT_LTH_CHP</v>
          </cell>
          <cell r="I129">
            <v>0.50123931555276602</v>
          </cell>
          <cell r="J129">
            <v>2.0111290138192013</v>
          </cell>
        </row>
        <row r="130">
          <cell r="B130" t="str">
            <v>ITOT-CHPWSTCCS</v>
          </cell>
          <cell r="C130" t="str">
            <v>VAR_fout</v>
          </cell>
          <cell r="D130" t="str">
            <v>ITOT_KEV_WST_ELC_CHP</v>
          </cell>
          <cell r="I130">
            <v>9.8960604686658529E-2</v>
          </cell>
          <cell r="J130">
            <v>0.59286037822204374</v>
          </cell>
        </row>
        <row r="131">
          <cell r="B131" t="str">
            <v>ITOT-CHPWSTCCS</v>
          </cell>
          <cell r="C131" t="str">
            <v>VAR_fout</v>
          </cell>
          <cell r="D131" t="str">
            <v>CO2_I</v>
          </cell>
          <cell r="I131">
            <v>164.65227502862101</v>
          </cell>
          <cell r="J131">
            <v>986.41080819656997</v>
          </cell>
        </row>
        <row r="132">
          <cell r="B132" t="str">
            <v>ITOT-CHPWSTCCS</v>
          </cell>
          <cell r="C132" t="str">
            <v>VAR_fin</v>
          </cell>
          <cell r="D132" t="str">
            <v>IWST</v>
          </cell>
          <cell r="I132">
            <v>1.7742702050497929</v>
          </cell>
          <cell r="J132">
            <v>10.629426812463052</v>
          </cell>
        </row>
        <row r="133">
          <cell r="B133" t="str">
            <v>ITOT-CHPWSTCCS</v>
          </cell>
          <cell r="C133" t="str">
            <v>VAR_ncap</v>
          </cell>
          <cell r="D133" t="str">
            <v>-</v>
          </cell>
          <cell r="I133">
            <v>7.7280082775468203E-3</v>
          </cell>
          <cell r="J133">
            <v>4.0834572060487899E-2</v>
          </cell>
        </row>
        <row r="134">
          <cell r="B134" t="str">
            <v>ITOT-CHPWSTCCS</v>
          </cell>
          <cell r="C134" t="str">
            <v>VAR_cap</v>
          </cell>
          <cell r="D134" t="str">
            <v>-</v>
          </cell>
          <cell r="I134">
            <v>7.7280082775468203E-3</v>
          </cell>
          <cell r="J134">
            <v>4.8562564085838526E-2</v>
          </cell>
        </row>
        <row r="135">
          <cell r="B135" t="str">
            <v>EHYD-RUNS10</v>
          </cell>
          <cell r="C135" t="str">
            <v>VAR_fout</v>
          </cell>
          <cell r="D135" t="str">
            <v>ELC35</v>
          </cell>
          <cell r="F135">
            <v>9.8203176393191465E-4</v>
          </cell>
          <cell r="G135">
            <v>1.009619050294704E-3</v>
          </cell>
          <cell r="H135">
            <v>1.0126260529265305E-3</v>
          </cell>
          <cell r="I135">
            <v>1.119393689463552E-3</v>
          </cell>
          <cell r="J135">
            <v>1.0887871334824741E-3</v>
          </cell>
        </row>
        <row r="136">
          <cell r="B136" t="str">
            <v>EHYD-RUNS10</v>
          </cell>
          <cell r="C136" t="str">
            <v>VAR_fin</v>
          </cell>
          <cell r="D136" t="str">
            <v>HYDR</v>
          </cell>
          <cell r="F136">
            <v>9.8203176393191465E-4</v>
          </cell>
          <cell r="G136">
            <v>1.009619050294704E-3</v>
          </cell>
          <cell r="H136">
            <v>1.0126260529265305E-3</v>
          </cell>
          <cell r="I136">
            <v>1.119393689463552E-3</v>
          </cell>
          <cell r="J136">
            <v>1.0887871334824741E-3</v>
          </cell>
        </row>
        <row r="137">
          <cell r="B137" t="str">
            <v>EHYD-RUNS10</v>
          </cell>
          <cell r="C137" t="str">
            <v>VAR_ncap</v>
          </cell>
          <cell r="D137" t="str">
            <v>-</v>
          </cell>
          <cell r="F137">
            <v>8.8504114683166994E-5</v>
          </cell>
          <cell r="G137">
            <v>3.65951581250264E-6</v>
          </cell>
          <cell r="H137">
            <v>6.3928075803178196E-8</v>
          </cell>
          <cell r="I137">
            <v>2.1948316930098501E-8</v>
          </cell>
          <cell r="J137">
            <v>1.8895442013787E-8</v>
          </cell>
        </row>
        <row r="138">
          <cell r="B138" t="str">
            <v>EHYD-RUNS10</v>
          </cell>
          <cell r="C138" t="str">
            <v>VAR_cap</v>
          </cell>
          <cell r="D138" t="str">
            <v>-</v>
          </cell>
          <cell r="F138">
            <v>8.8504114683166994E-5</v>
          </cell>
          <cell r="G138">
            <v>9.2163630495669595E-5</v>
          </cell>
          <cell r="H138">
            <v>9.2227558571472804E-5</v>
          </cell>
          <cell r="I138">
            <v>9.2280598136116595E-5</v>
          </cell>
          <cell r="J138">
            <v>9.2299493578130399E-5</v>
          </cell>
        </row>
        <row r="139">
          <cell r="B139" t="str">
            <v>SUP_WSTBIO</v>
          </cell>
          <cell r="C139" t="str">
            <v>VAR_fout</v>
          </cell>
          <cell r="D139" t="str">
            <v>ELC35</v>
          </cell>
          <cell r="E139">
            <v>0.11258832078574392</v>
          </cell>
          <cell r="F139">
            <v>0.12476460475664931</v>
          </cell>
          <cell r="G139">
            <v>0.12058118786590917</v>
          </cell>
          <cell r="H139">
            <v>0.13842295892554304</v>
          </cell>
          <cell r="I139">
            <v>0.13496139119558995</v>
          </cell>
          <cell r="J139">
            <v>0.1256291374027303</v>
          </cell>
        </row>
        <row r="140">
          <cell r="B140" t="str">
            <v>SUP_WSTBIO</v>
          </cell>
          <cell r="C140" t="str">
            <v>VAR_fout</v>
          </cell>
          <cell r="D140" t="str">
            <v>BIO</v>
          </cell>
          <cell r="E140">
            <v>5.6294160392871913</v>
          </cell>
          <cell r="F140">
            <v>6.2382302378324708</v>
          </cell>
          <cell r="G140">
            <v>6.0290593932954648</v>
          </cell>
          <cell r="H140">
            <v>6.9211479462771539</v>
          </cell>
          <cell r="I140">
            <v>6.7480695597794975</v>
          </cell>
          <cell r="J140">
            <v>6.2814568701365143</v>
          </cell>
        </row>
        <row r="141">
          <cell r="B141" t="str">
            <v>SUP_WSTBIO</v>
          </cell>
          <cell r="C141" t="str">
            <v>VAR_fin</v>
          </cell>
          <cell r="D141" t="str">
            <v>CWST</v>
          </cell>
          <cell r="E141">
            <v>9.6793787784086582</v>
          </cell>
          <cell r="F141">
            <v>10.726191306078787</v>
          </cell>
          <cell r="G141">
            <v>10.366536979672023</v>
          </cell>
          <cell r="H141">
            <v>11.900419525913108</v>
          </cell>
          <cell r="I141">
            <v>11.602823603072284</v>
          </cell>
          <cell r="J141">
            <v>10.800516412709012</v>
          </cell>
        </row>
        <row r="142">
          <cell r="B142" t="str">
            <v>SUP_WSTBIO</v>
          </cell>
          <cell r="C142" t="str">
            <v>VAR_ncap</v>
          </cell>
          <cell r="D142" t="str">
            <v>-</v>
          </cell>
          <cell r="E142">
            <v>4.0972032246380501E-3</v>
          </cell>
          <cell r="F142">
            <v>2.2999094301750699E-2</v>
          </cell>
          <cell r="G142">
            <v>2.9874251785992401E-7</v>
          </cell>
          <cell r="H142">
            <v>9.9384358122240002E-2</v>
          </cell>
          <cell r="I142">
            <v>2.5330282174595001E-2</v>
          </cell>
          <cell r="J142">
            <v>9.3009572323926606E-2</v>
          </cell>
        </row>
        <row r="143">
          <cell r="B143" t="str">
            <v>SUP_WSTBIO</v>
          </cell>
          <cell r="C143" t="str">
            <v>VAR_cap</v>
          </cell>
          <cell r="D143" t="str">
            <v>-</v>
          </cell>
          <cell r="E143">
            <v>0.21266746144615847</v>
          </cell>
          <cell r="F143">
            <v>0.23566649160567693</v>
          </cell>
          <cell r="G143">
            <v>0.23566529350388274</v>
          </cell>
          <cell r="H143">
            <v>0.26146558870326625</v>
          </cell>
          <cell r="I143">
            <v>0.25492685113398772</v>
          </cell>
          <cell r="J143">
            <v>0.23729929793299859</v>
          </cell>
        </row>
        <row r="144">
          <cell r="B144" t="str">
            <v>ITOT-CHPNGACCS</v>
          </cell>
          <cell r="C144" t="str">
            <v>VAR_fout</v>
          </cell>
          <cell r="D144" t="str">
            <v>CO2_O</v>
          </cell>
          <cell r="I144">
            <v>0.27945735800204125</v>
          </cell>
          <cell r="J144">
            <v>37.972723768837078</v>
          </cell>
        </row>
        <row r="145">
          <cell r="B145" t="str">
            <v>ITOT-CHPNGACCS</v>
          </cell>
          <cell r="C145" t="str">
            <v>VAR_fout</v>
          </cell>
          <cell r="D145" t="str">
            <v>CO2</v>
          </cell>
          <cell r="I145">
            <v>-0.27945735800204102</v>
          </cell>
          <cell r="J145">
            <v>-37.972723768837099</v>
          </cell>
        </row>
        <row r="146">
          <cell r="B146" t="str">
            <v>ITOT-CHPNGACCS</v>
          </cell>
          <cell r="C146" t="str">
            <v>VAR_fout</v>
          </cell>
          <cell r="D146" t="str">
            <v>ITOT_NKEV_GAS_ELC_CHP</v>
          </cell>
          <cell r="I146">
            <v>1.8038127339361928E-3</v>
          </cell>
          <cell r="J146">
            <v>0.24510244842424073</v>
          </cell>
        </row>
        <row r="147">
          <cell r="B147" t="str">
            <v>ITOT-CHPNGACCS</v>
          </cell>
          <cell r="C147" t="str">
            <v>VAR_fout</v>
          </cell>
          <cell r="D147" t="str">
            <v>ITOT_LTH_CHP</v>
          </cell>
          <cell r="I147">
            <v>2.0430129078231811E-3</v>
          </cell>
          <cell r="J147">
            <v>0.27090270615310919</v>
          </cell>
        </row>
        <row r="148">
          <cell r="B148" t="str">
            <v>ITOT-CHPNGACCS</v>
          </cell>
          <cell r="C148" t="str">
            <v>VAR_fout</v>
          </cell>
          <cell r="D148" t="str">
            <v>CO2_I</v>
          </cell>
          <cell r="I148">
            <v>0.338966066905243</v>
          </cell>
          <cell r="J148">
            <v>42.713973904954599</v>
          </cell>
        </row>
        <row r="149">
          <cell r="B149" t="str">
            <v>ITOT-CHPNGACCS</v>
          </cell>
          <cell r="C149" t="str">
            <v>VAR_fin</v>
          </cell>
          <cell r="D149" t="str">
            <v>INGA</v>
          </cell>
          <cell r="I149">
            <v>6.0100366472560802E-3</v>
          </cell>
          <cell r="J149">
            <v>0.75733996285380434</v>
          </cell>
        </row>
        <row r="150">
          <cell r="B150" t="str">
            <v>ITOT-CHPNGACCS</v>
          </cell>
          <cell r="C150" t="str">
            <v>VAR_ncap</v>
          </cell>
          <cell r="D150" t="str">
            <v>-</v>
          </cell>
          <cell r="I150">
            <v>2.4559639158943102E-4</v>
          </cell>
          <cell r="J150">
            <v>1.0128106920033899E-2</v>
          </cell>
        </row>
        <row r="151">
          <cell r="B151" t="str">
            <v>ITOT-CHPNGACCS</v>
          </cell>
          <cell r="C151" t="str">
            <v>VAR_cap</v>
          </cell>
          <cell r="D151" t="str">
            <v>-</v>
          </cell>
          <cell r="I151">
            <v>2.4559639158943102E-4</v>
          </cell>
          <cell r="J151">
            <v>1.0373626503722257E-2</v>
          </cell>
        </row>
        <row r="152">
          <cell r="B152" t="str">
            <v>SCOM-ESOLPV</v>
          </cell>
          <cell r="C152" t="str">
            <v>VAR_fout</v>
          </cell>
          <cell r="D152" t="str">
            <v>SCOM_SOL_ELC</v>
          </cell>
          <cell r="E152">
            <v>2.8396236857719668</v>
          </cell>
          <cell r="F152">
            <v>3.2944550569698281</v>
          </cell>
          <cell r="G152">
            <v>9.9666065603753466</v>
          </cell>
          <cell r="H152">
            <v>10.737735925875244</v>
          </cell>
          <cell r="I152">
            <v>26.581678840365736</v>
          </cell>
          <cell r="J152">
            <v>29.362713259233413</v>
          </cell>
        </row>
        <row r="153">
          <cell r="B153" t="str">
            <v>SCOM-ESOLPV</v>
          </cell>
          <cell r="C153" t="str">
            <v>VAR_fin</v>
          </cell>
          <cell r="D153" t="str">
            <v>SOL</v>
          </cell>
          <cell r="E153">
            <v>2.8396236857719668</v>
          </cell>
          <cell r="F153">
            <v>3.2944550569698281</v>
          </cell>
          <cell r="G153">
            <v>9.9666065603753466</v>
          </cell>
          <cell r="H153">
            <v>10.737735925875244</v>
          </cell>
          <cell r="I153">
            <v>26.581678840365736</v>
          </cell>
          <cell r="J153">
            <v>29.362713259233413</v>
          </cell>
        </row>
        <row r="154">
          <cell r="B154" t="str">
            <v>SCOM-ESOLPV</v>
          </cell>
          <cell r="C154" t="str">
            <v>VAR_fin</v>
          </cell>
          <cell r="D154" t="str">
            <v>SOLPVC</v>
          </cell>
          <cell r="E154">
            <v>2.8396236857719699</v>
          </cell>
          <cell r="F154">
            <v>3.2944550569698299</v>
          </cell>
          <cell r="G154">
            <v>9.9666065603753502</v>
          </cell>
          <cell r="H154">
            <v>10.737735925875199</v>
          </cell>
          <cell r="I154">
            <v>26.581678840365701</v>
          </cell>
          <cell r="J154">
            <v>29.362713259233399</v>
          </cell>
        </row>
        <row r="155">
          <cell r="B155" t="str">
            <v>SCOM-ESOLPV</v>
          </cell>
          <cell r="C155" t="str">
            <v>VAR_ncap</v>
          </cell>
          <cell r="D155" t="str">
            <v>-</v>
          </cell>
          <cell r="G155">
            <v>2.0047163968026198</v>
          </cell>
          <cell r="H155">
            <v>6.8604853238255296E-7</v>
          </cell>
          <cell r="I155">
            <v>4.8168980539108999</v>
          </cell>
          <cell r="J155">
            <v>3.14969570436477</v>
          </cell>
        </row>
        <row r="156">
          <cell r="B156" t="str">
            <v>SCOM-ESOLPV</v>
          </cell>
          <cell r="C156" t="str">
            <v>VAR_cap</v>
          </cell>
          <cell r="D156" t="str">
            <v>-</v>
          </cell>
          <cell r="E156">
            <v>0.90292899999999998</v>
          </cell>
          <cell r="F156">
            <v>1.12310126156801</v>
          </cell>
          <cell r="G156">
            <v>3.1799453968026201</v>
          </cell>
          <cell r="H156">
            <v>3.0953762610918298</v>
          </cell>
          <cell r="I156">
            <v>7.6627234801300688</v>
          </cell>
          <cell r="J156">
            <v>8.4644147195922894</v>
          </cell>
        </row>
        <row r="157">
          <cell r="B157" t="str">
            <v>D-SCOM_LTH</v>
          </cell>
          <cell r="C157" t="str">
            <v>VAR_fout</v>
          </cell>
          <cell r="D157" t="str">
            <v>SCOM_LTH_DH</v>
          </cell>
          <cell r="E157">
            <v>5.6100048578387662</v>
          </cell>
          <cell r="F157">
            <v>6.0767046406595826</v>
          </cell>
          <cell r="G157">
            <v>5.979110000324571</v>
          </cell>
          <cell r="H157">
            <v>7.2827006139473323</v>
          </cell>
          <cell r="I157">
            <v>8.099822198976911</v>
          </cell>
          <cell r="J157">
            <v>7.4585956214093834</v>
          </cell>
        </row>
        <row r="158">
          <cell r="B158" t="str">
            <v>D-SCOM_LTH</v>
          </cell>
          <cell r="C158" t="str">
            <v>VAR_fin</v>
          </cell>
          <cell r="D158" t="str">
            <v>LTH</v>
          </cell>
          <cell r="E158">
            <v>6.0987810147819745</v>
          </cell>
          <cell r="F158">
            <v>6.6044062150992788</v>
          </cell>
          <cell r="G158">
            <v>6.4957756948960705</v>
          </cell>
          <cell r="H158">
            <v>7.9068189561205093</v>
          </cell>
          <cell r="I158">
            <v>8.7824383044660639</v>
          </cell>
          <cell r="J158">
            <v>8.0765839973880809</v>
          </cell>
        </row>
        <row r="159">
          <cell r="B159" t="str">
            <v>D-SCOM_LTH</v>
          </cell>
          <cell r="C159" t="str">
            <v>VAR_ncap</v>
          </cell>
          <cell r="D159" t="str">
            <v>-</v>
          </cell>
          <cell r="E159">
            <v>0.84970021712889399</v>
          </cell>
          <cell r="F159">
            <v>2.4665767960347399E-8</v>
          </cell>
          <cell r="G159">
            <v>2.81544217867482E-8</v>
          </cell>
          <cell r="H159">
            <v>3.2291945347010103E-8</v>
          </cell>
          <cell r="I159">
            <v>6.0212745725929404E-8</v>
          </cell>
          <cell r="J159">
            <v>6.5163429597128006E-8</v>
          </cell>
        </row>
        <row r="160">
          <cell r="B160" t="str">
            <v>D-SCOM_LTH</v>
          </cell>
          <cell r="C160" t="str">
            <v>VAR_cap</v>
          </cell>
          <cell r="D160" t="str">
            <v>-</v>
          </cell>
          <cell r="E160">
            <v>0.84970021712889399</v>
          </cell>
          <cell r="F160">
            <v>0.84970024179466197</v>
          </cell>
          <cell r="G160">
            <v>0.84970026994908399</v>
          </cell>
          <cell r="H160">
            <v>0.84970030224102899</v>
          </cell>
          <cell r="I160">
            <v>0.84970041029324905</v>
          </cell>
          <cell r="J160">
            <v>0.84970047545667804</v>
          </cell>
        </row>
        <row r="161">
          <cell r="B161" t="str">
            <v>EHYD-RUNS15</v>
          </cell>
          <cell r="C161" t="str">
            <v>VAR_fout</v>
          </cell>
          <cell r="D161" t="str">
            <v>ELC35</v>
          </cell>
          <cell r="F161">
            <v>3.4328843838343445E-4</v>
          </cell>
          <cell r="G161">
            <v>2.6232410878816131E-3</v>
          </cell>
          <cell r="H161">
            <v>4.2276749609156169E-3</v>
          </cell>
          <cell r="I161">
            <v>4.2460720294250952E-3</v>
          </cell>
          <cell r="J161">
            <v>4.5037974572681907E-3</v>
          </cell>
        </row>
        <row r="162">
          <cell r="B162" t="str">
            <v>EHYD-RUNS15</v>
          </cell>
          <cell r="C162" t="str">
            <v>VAR_fin</v>
          </cell>
          <cell r="D162" t="str">
            <v>HYDR</v>
          </cell>
          <cell r="F162">
            <v>3.4328843838343445E-4</v>
          </cell>
          <cell r="G162">
            <v>2.6232410878816131E-3</v>
          </cell>
          <cell r="H162">
            <v>4.2276749609156169E-3</v>
          </cell>
          <cell r="I162">
            <v>4.2460720294250952E-3</v>
          </cell>
          <cell r="J162">
            <v>4.5037974572681907E-3</v>
          </cell>
        </row>
        <row r="163">
          <cell r="B163" t="str">
            <v>EHYD-RUNS15</v>
          </cell>
          <cell r="C163" t="str">
            <v>VAR_ncap</v>
          </cell>
          <cell r="D163" t="str">
            <v>-</v>
          </cell>
          <cell r="F163">
            <v>2.8590900291087901E-5</v>
          </cell>
          <cell r="G163">
            <v>1.5259869478904901E-4</v>
          </cell>
          <cell r="H163">
            <v>9.7229205495116E-5</v>
          </cell>
          <cell r="I163">
            <v>3.01071941600814E-7</v>
          </cell>
          <cell r="J163">
            <v>1.5331456193850299E-7</v>
          </cell>
        </row>
        <row r="164">
          <cell r="B164" t="str">
            <v>EHYD-RUNS15</v>
          </cell>
          <cell r="C164" t="str">
            <v>VAR_cap</v>
          </cell>
          <cell r="D164" t="str">
            <v>-</v>
          </cell>
          <cell r="F164">
            <v>2.8590900291087901E-5</v>
          </cell>
          <cell r="G164">
            <v>1.81189595080137E-4</v>
          </cell>
          <cell r="H164">
            <v>2.7841880057525301E-4</v>
          </cell>
          <cell r="I164">
            <v>2.7885123585512801E-4</v>
          </cell>
          <cell r="J164">
            <v>2.79004550417066E-4</v>
          </cell>
        </row>
        <row r="165">
          <cell r="B165" t="str">
            <v>EHYD-RUN10</v>
          </cell>
          <cell r="C165" t="str">
            <v>VAR_fout</v>
          </cell>
          <cell r="D165" t="str">
            <v>ELC13</v>
          </cell>
          <cell r="F165">
            <v>1.0851151918353653E-3</v>
          </cell>
          <cell r="G165">
            <v>1.7474430684915075E-2</v>
          </cell>
          <cell r="H165">
            <v>1.950234532003214E-2</v>
          </cell>
          <cell r="I165">
            <v>6.367101351113251E-2</v>
          </cell>
          <cell r="J165">
            <v>6.2568833922645437E-2</v>
          </cell>
        </row>
        <row r="166">
          <cell r="B166" t="str">
            <v>EHYD-RUN10</v>
          </cell>
          <cell r="C166" t="str">
            <v>VAR_fin</v>
          </cell>
          <cell r="D166" t="str">
            <v>HYDR</v>
          </cell>
          <cell r="F166">
            <v>1.0851151918353653E-3</v>
          </cell>
          <cell r="G166">
            <v>1.7474430684915075E-2</v>
          </cell>
          <cell r="H166">
            <v>1.950234532003214E-2</v>
          </cell>
          <cell r="I166">
            <v>6.367101351113251E-2</v>
          </cell>
          <cell r="J166">
            <v>6.2568833922645437E-2</v>
          </cell>
        </row>
        <row r="167">
          <cell r="B167" t="str">
            <v>EHYD-RUN10</v>
          </cell>
          <cell r="C167" t="str">
            <v>VAR_ncap</v>
          </cell>
          <cell r="D167" t="str">
            <v>-</v>
          </cell>
          <cell r="F167">
            <v>9.3698602785891293E-5</v>
          </cell>
          <cell r="G167">
            <v>1.4674467607883001E-3</v>
          </cell>
          <cell r="H167">
            <v>1.76615111001528E-7</v>
          </cell>
          <cell r="J167">
            <v>1.00882368526047E-8</v>
          </cell>
        </row>
        <row r="168">
          <cell r="B168" t="str">
            <v>EHYD-RUN10</v>
          </cell>
          <cell r="C168" t="str">
            <v>VAR_cap</v>
          </cell>
          <cell r="D168" t="str">
            <v>-</v>
          </cell>
          <cell r="F168">
            <v>9.3698602785891293E-5</v>
          </cell>
          <cell r="G168">
            <v>1.56114536357419E-3</v>
          </cell>
          <cell r="H168">
            <v>1.56132197868519E-3</v>
          </cell>
          <cell r="I168">
            <v>5.0210589375660397E-3</v>
          </cell>
          <cell r="J168">
            <v>5.0210690258028897E-3</v>
          </cell>
        </row>
        <row r="169">
          <cell r="B169" t="str">
            <v>ITOT-CHPWOD</v>
          </cell>
          <cell r="C169" t="str">
            <v>VAR_fout</v>
          </cell>
          <cell r="D169" t="str">
            <v>ITOT_LTH_CHP</v>
          </cell>
          <cell r="E169">
            <v>0.65962463691138318</v>
          </cell>
          <cell r="F169">
            <v>1.8167196899986511</v>
          </cell>
          <cell r="G169">
            <v>3.3360593817489446</v>
          </cell>
          <cell r="H169">
            <v>3.9240650403853277</v>
          </cell>
          <cell r="I169">
            <v>3.6356111598913343</v>
          </cell>
          <cell r="J169">
            <v>3.6284109371024931</v>
          </cell>
        </row>
        <row r="170">
          <cell r="B170" t="str">
            <v>ITOT-CHPWOD</v>
          </cell>
          <cell r="C170" t="str">
            <v>VAR_fout</v>
          </cell>
          <cell r="D170" t="str">
            <v>ITOT_KEV_WOD_ELC_CHP</v>
          </cell>
          <cell r="E170">
            <v>0.17247666593179214</v>
          </cell>
          <cell r="F170">
            <v>0.52165321824053901</v>
          </cell>
          <cell r="G170">
            <v>1.1232877017347516</v>
          </cell>
          <cell r="H170">
            <v>1.8550125645457916</v>
          </cell>
          <cell r="I170">
            <v>1.7186525483122645</v>
          </cell>
          <cell r="J170">
            <v>1.7152488066302649</v>
          </cell>
        </row>
        <row r="171">
          <cell r="B171" t="str">
            <v>ITOT-CHPWOD</v>
          </cell>
          <cell r="C171" t="str">
            <v>VAR_fin</v>
          </cell>
          <cell r="D171" t="str">
            <v>IWOD</v>
          </cell>
          <cell r="E171">
            <v>0.87279849294427236</v>
          </cell>
          <cell r="F171">
            <v>2.3100679011809846</v>
          </cell>
          <cell r="G171">
            <v>4.1935708424504963</v>
          </cell>
          <cell r="H171">
            <v>5.4799289376731553</v>
          </cell>
          <cell r="I171">
            <v>4.8882862510405163</v>
          </cell>
          <cell r="J171">
            <v>4.667351812350236</v>
          </cell>
        </row>
        <row r="172">
          <cell r="B172" t="str">
            <v>ITOT-CHPWOD</v>
          </cell>
          <cell r="C172" t="str">
            <v>VAR_ncap</v>
          </cell>
          <cell r="D172" t="str">
            <v>-</v>
          </cell>
          <cell r="F172">
            <v>1.76088062137317E-2</v>
          </cell>
          <cell r="G172">
            <v>2.22453339433894E-2</v>
          </cell>
          <cell r="H172">
            <v>2.7055347914664799E-2</v>
          </cell>
          <cell r="I172">
            <v>4.2078458182939898E-5</v>
          </cell>
          <cell r="J172">
            <v>5.7674454559608498E-2</v>
          </cell>
        </row>
        <row r="173">
          <cell r="B173" t="str">
            <v>ITOT-CHPWOD</v>
          </cell>
          <cell r="C173" t="str">
            <v>VAR_cap</v>
          </cell>
          <cell r="D173" t="str">
            <v>-</v>
          </cell>
          <cell r="E173">
            <v>6.4418857731046598E-3</v>
          </cell>
          <cell r="F173">
            <v>1.9287772123723887E-2</v>
          </cell>
          <cell r="G173">
            <v>4.1533016149933939E-2</v>
          </cell>
          <cell r="H173">
            <v>6.8588135530205596E-2</v>
          </cell>
          <cell r="I173">
            <v>7.9472250473914499E-2</v>
          </cell>
          <cell r="J173">
            <v>8.1820670821050281E-2</v>
          </cell>
        </row>
        <row r="174">
          <cell r="B174" t="str">
            <v>EHYD-RUN15</v>
          </cell>
          <cell r="C174" t="str">
            <v>VAR_fout</v>
          </cell>
          <cell r="D174" t="str">
            <v>ELC13</v>
          </cell>
          <cell r="F174">
            <v>4.572003780042265E-4</v>
          </cell>
          <cell r="G174">
            <v>4.6332102510960639E-4</v>
          </cell>
          <cell r="H174">
            <v>7.1770618056946163E-3</v>
          </cell>
          <cell r="I174">
            <v>0.29340435290479122</v>
          </cell>
          <cell r="J174">
            <v>0.35439534467836992</v>
          </cell>
        </row>
        <row r="175">
          <cell r="B175" t="str">
            <v>EHYD-RUN15</v>
          </cell>
          <cell r="C175" t="str">
            <v>VAR_fin</v>
          </cell>
          <cell r="D175" t="str">
            <v>HYDR</v>
          </cell>
          <cell r="F175">
            <v>4.572003780042265E-4</v>
          </cell>
          <cell r="G175">
            <v>4.6332102510960639E-4</v>
          </cell>
          <cell r="H175">
            <v>7.1770618056946163E-3</v>
          </cell>
          <cell r="I175">
            <v>0.29340435290479122</v>
          </cell>
          <cell r="J175">
            <v>0.35439534467836992</v>
          </cell>
        </row>
        <row r="176">
          <cell r="B176" t="str">
            <v>EHYD-RUN15</v>
          </cell>
          <cell r="C176" t="str">
            <v>VAR_ncap</v>
          </cell>
          <cell r="D176" t="str">
            <v>-</v>
          </cell>
          <cell r="F176">
            <v>3.92015223125499E-5</v>
          </cell>
          <cell r="G176">
            <v>6.7738551709170796E-4</v>
          </cell>
          <cell r="H176">
            <v>2.3296639014432601E-7</v>
          </cell>
          <cell r="I176">
            <v>3.59238634793872E-7</v>
          </cell>
          <cell r="J176">
            <v>3.0458550298087002E-7</v>
          </cell>
        </row>
        <row r="177">
          <cell r="B177" t="str">
            <v>EHYD-RUN15</v>
          </cell>
          <cell r="C177" t="str">
            <v>VAR_cap</v>
          </cell>
          <cell r="D177" t="str">
            <v>-</v>
          </cell>
          <cell r="F177">
            <v>3.92015223125499E-5</v>
          </cell>
          <cell r="G177">
            <v>3.92015223125499E-5</v>
          </cell>
          <cell r="H177">
            <v>5.1102206191853104E-4</v>
          </cell>
          <cell r="I177">
            <v>2.0858802947661102E-2</v>
          </cell>
          <cell r="J177">
            <v>2.51947681985886E-2</v>
          </cell>
        </row>
        <row r="178">
          <cell r="B178" t="str">
            <v>SCOM-SWHSTG-CHPWOD</v>
          </cell>
          <cell r="C178" t="str">
            <v>VAR_fout</v>
          </cell>
          <cell r="D178" t="str">
            <v>AUX_SCOM-CHPWOD_OUT</v>
          </cell>
          <cell r="E178">
            <v>1.1717343885967772E-4</v>
          </cell>
          <cell r="F178">
            <v>1.7821834232176488E-4</v>
          </cell>
          <cell r="G178">
            <v>1.820373068000054E-4</v>
          </cell>
          <cell r="H178">
            <v>3.669491377853649E-3</v>
          </cell>
          <cell r="I178">
            <v>2.0091585654759291E-2</v>
          </cell>
          <cell r="J178">
            <v>3.2775971181012609E-2</v>
          </cell>
        </row>
        <row r="179">
          <cell r="B179" t="str">
            <v>SCOM-SWHSTG-CHPWOD</v>
          </cell>
          <cell r="C179" t="str">
            <v>VAR_fout</v>
          </cell>
          <cell r="D179" t="str">
            <v>SCOM_LTH_CHPWOD</v>
          </cell>
          <cell r="E179">
            <v>1.1717343885967793E-4</v>
          </cell>
          <cell r="F179">
            <v>1.7836401248662569E-4</v>
          </cell>
          <cell r="G179">
            <v>1.8226979378187019E-4</v>
          </cell>
          <cell r="H179">
            <v>3.6694913778536433E-3</v>
          </cell>
          <cell r="I179">
            <v>2.0091585654759273E-2</v>
          </cell>
          <cell r="J179">
            <v>3.2775971181012609E-2</v>
          </cell>
        </row>
        <row r="180">
          <cell r="B180" t="str">
            <v>SCOM-SWHSTG-CHPWOD</v>
          </cell>
          <cell r="C180" t="str">
            <v>VAR_fin</v>
          </cell>
          <cell r="D180" t="str">
            <v>AUX_SCOM-CHPWOD_IN</v>
          </cell>
          <cell r="E180">
            <v>1.1717343885967793E-4</v>
          </cell>
          <cell r="F180">
            <v>1.7836401248662569E-4</v>
          </cell>
          <cell r="G180">
            <v>1.8226979378187019E-4</v>
          </cell>
          <cell r="H180">
            <v>4.207330960280798E-3</v>
          </cell>
          <cell r="I180">
            <v>2.1593685117838969E-2</v>
          </cell>
          <cell r="J180">
            <v>3.3109276110871805E-2</v>
          </cell>
        </row>
        <row r="181">
          <cell r="B181" t="str">
            <v>SCOM-SWHSTG-CHPWOD</v>
          </cell>
          <cell r="C181" t="str">
            <v>VAR_fin</v>
          </cell>
          <cell r="D181" t="str">
            <v>SCOM_LTH_CHPWOD</v>
          </cell>
          <cell r="E181">
            <v>1.1717343885967793E-4</v>
          </cell>
          <cell r="F181">
            <v>1.7836401248662569E-4</v>
          </cell>
          <cell r="G181">
            <v>1.8226979378187019E-4</v>
          </cell>
          <cell r="H181">
            <v>4.207330960280798E-3</v>
          </cell>
          <cell r="I181">
            <v>2.1593685117838969E-2</v>
          </cell>
          <cell r="J181">
            <v>3.3109276110871805E-2</v>
          </cell>
        </row>
        <row r="182">
          <cell r="B182" t="str">
            <v>SCOM-SWHSTG-CHPWOD</v>
          </cell>
          <cell r="C182" t="str">
            <v>VAR_ncap</v>
          </cell>
          <cell r="D182" t="str">
            <v>-</v>
          </cell>
          <cell r="E182">
            <v>6.6993508377424901E-4</v>
          </cell>
          <cell r="F182">
            <v>1.85055238812618E-5</v>
          </cell>
          <cell r="G182">
            <v>2.6761050328180198E-5</v>
          </cell>
          <cell r="H182">
            <v>2.6569756053014E-5</v>
          </cell>
          <cell r="I182">
            <v>2.0984676185591001E-4</v>
          </cell>
          <cell r="J182">
            <v>1.4448937241701E-3</v>
          </cell>
        </row>
        <row r="183">
          <cell r="B183" t="str">
            <v>SCOM-SWHSTG-CHPWOD</v>
          </cell>
          <cell r="C183" t="str">
            <v>VAR_cap</v>
          </cell>
          <cell r="D183" t="str">
            <v>-</v>
          </cell>
          <cell r="E183">
            <v>6.6993508377424901E-4</v>
          </cell>
          <cell r="F183">
            <v>6.861457983000852E-4</v>
          </cell>
          <cell r="G183">
            <v>7.0852280178718998E-4</v>
          </cell>
          <cell r="H183">
            <v>7.2594866890407798E-4</v>
          </cell>
          <cell r="I183">
            <v>1.2630858200931741E-3</v>
          </cell>
          <cell r="J183">
            <v>2.0320940032265093E-3</v>
          </cell>
        </row>
        <row r="184">
          <cell r="B184" t="str">
            <v>RHNM-ESOLPV</v>
          </cell>
          <cell r="C184" t="str">
            <v>VAR_fout</v>
          </cell>
          <cell r="D184" t="str">
            <v>RHNM_SOL_ELC</v>
          </cell>
          <cell r="F184">
            <v>1.1571177163573153E-6</v>
          </cell>
          <cell r="G184">
            <v>1.7241042147693928</v>
          </cell>
          <cell r="H184">
            <v>1.9082514053473552</v>
          </cell>
          <cell r="I184">
            <v>2.1079042872093954</v>
          </cell>
          <cell r="J184">
            <v>2.328439651527189</v>
          </cell>
        </row>
        <row r="185">
          <cell r="B185" t="str">
            <v>RHNM-ESOLPV</v>
          </cell>
          <cell r="C185" t="str">
            <v>VAR_fin</v>
          </cell>
          <cell r="D185" t="str">
            <v>SOL</v>
          </cell>
          <cell r="F185">
            <v>1.1571177163573153E-6</v>
          </cell>
          <cell r="G185">
            <v>1.7241042147693928</v>
          </cell>
          <cell r="H185">
            <v>1.9082514053473552</v>
          </cell>
          <cell r="I185">
            <v>2.1079042872093954</v>
          </cell>
          <cell r="J185">
            <v>2.328439651527189</v>
          </cell>
        </row>
        <row r="186">
          <cell r="B186" t="str">
            <v>RHNM-ESOLPV</v>
          </cell>
          <cell r="C186" t="str">
            <v>VAR_fin</v>
          </cell>
          <cell r="D186" t="str">
            <v>SOLPVC</v>
          </cell>
          <cell r="F186">
            <v>1.15711771635732E-6</v>
          </cell>
          <cell r="G186">
            <v>1.7241042147693899</v>
          </cell>
          <cell r="H186">
            <v>1.90825140534735</v>
          </cell>
          <cell r="I186">
            <v>2.1079042872093998</v>
          </cell>
          <cell r="J186">
            <v>2.3284396515271899</v>
          </cell>
        </row>
        <row r="187">
          <cell r="B187" t="str">
            <v>RHNM-ESOLPV</v>
          </cell>
          <cell r="C187" t="str">
            <v>VAR_ncap</v>
          </cell>
          <cell r="D187" t="str">
            <v>-</v>
          </cell>
          <cell r="F187">
            <v>5.7394399592498904E-7</v>
          </cell>
          <cell r="G187">
            <v>0.55009243665083496</v>
          </cell>
          <cell r="H187">
            <v>6.1475354834465101E-7</v>
          </cell>
          <cell r="I187">
            <v>2.9493162646923098E-2</v>
          </cell>
          <cell r="J187">
            <v>0.619367419187414</v>
          </cell>
        </row>
        <row r="188">
          <cell r="B188" t="str">
            <v>RHNM-ESOLPV</v>
          </cell>
          <cell r="C188" t="str">
            <v>VAR_cap</v>
          </cell>
          <cell r="D188" t="str">
            <v>-</v>
          </cell>
          <cell r="F188">
            <v>5.7394399592498904E-7</v>
          </cell>
          <cell r="G188">
            <v>0.55009301059483096</v>
          </cell>
          <cell r="H188">
            <v>0.55009362534837902</v>
          </cell>
          <cell r="I188">
            <v>0.60764830113994495</v>
          </cell>
          <cell r="J188">
            <v>0.67122206733698597</v>
          </cell>
        </row>
        <row r="189">
          <cell r="B189" t="str">
            <v>CHPNGA</v>
          </cell>
          <cell r="C189" t="str">
            <v>VAR_fout</v>
          </cell>
          <cell r="D189" t="str">
            <v>ELC35</v>
          </cell>
          <cell r="E189">
            <v>0.9658829888816659</v>
          </cell>
          <cell r="F189">
            <v>1.1353411454200475E-4</v>
          </cell>
          <cell r="G189">
            <v>4.8526120076363024E-4</v>
          </cell>
          <cell r="J189"/>
        </row>
        <row r="190">
          <cell r="B190" t="str">
            <v>CHPNGA</v>
          </cell>
          <cell r="C190" t="str">
            <v>VAR_fout</v>
          </cell>
          <cell r="D190" t="str">
            <v>LTH</v>
          </cell>
          <cell r="E190">
            <v>1.8035554012585471</v>
          </cell>
          <cell r="F190">
            <v>2.181620415307501E-4</v>
          </cell>
          <cell r="G190">
            <v>9.7197637868295982E-4</v>
          </cell>
          <cell r="J190"/>
        </row>
        <row r="191">
          <cell r="B191" t="str">
            <v>CHPNGA</v>
          </cell>
          <cell r="C191" t="str">
            <v>VAR_fout</v>
          </cell>
          <cell r="D191" t="str">
            <v>CO2_E</v>
          </cell>
          <cell r="E191">
            <v>207.19866796894601</v>
          </cell>
          <cell r="F191">
            <v>3.7628087457381401E-2</v>
          </cell>
          <cell r="G191">
            <v>0.175681278228629</v>
          </cell>
          <cell r="J191"/>
        </row>
        <row r="192">
          <cell r="B192" t="str">
            <v>CHPNGA</v>
          </cell>
          <cell r="C192" t="str">
            <v>VAR_fin</v>
          </cell>
          <cell r="D192" t="str">
            <v>ENGA</v>
          </cell>
          <cell r="E192">
            <v>3.6737352476763556</v>
          </cell>
          <cell r="F192">
            <v>6.6716467123016611E-4</v>
          </cell>
          <cell r="G192">
            <v>3.1149162806494552E-3</v>
          </cell>
          <cell r="J192"/>
        </row>
        <row r="193">
          <cell r="B193" t="str">
            <v>CHPNGA</v>
          </cell>
          <cell r="C193" t="str">
            <v>VAR_ncap</v>
          </cell>
          <cell r="D193" t="str">
            <v>-</v>
          </cell>
          <cell r="F193">
            <v>5.4336037528133102E-8</v>
          </cell>
          <cell r="J193"/>
        </row>
        <row r="194">
          <cell r="B194" t="str">
            <v>CHPNGA</v>
          </cell>
          <cell r="C194" t="str">
            <v>VAR_cap</v>
          </cell>
          <cell r="D194" t="str">
            <v>-</v>
          </cell>
          <cell r="E194">
            <v>4.8144842062160298E-2</v>
          </cell>
          <cell r="F194">
            <v>3.8573745790623781E-5</v>
          </cell>
          <cell r="G194">
            <v>3.8871380013932866E-5</v>
          </cell>
          <cell r="H194">
            <v>-5.0422048626652671E-7</v>
          </cell>
          <cell r="J194"/>
        </row>
        <row r="195">
          <cell r="B195" t="str">
            <v>EHYD-PUM00</v>
          </cell>
          <cell r="C195" t="str">
            <v>VAR_fout</v>
          </cell>
          <cell r="D195" t="str">
            <v>ELC</v>
          </cell>
          <cell r="E195">
            <v>12.841922884393187</v>
          </cell>
          <cell r="F195">
            <v>16.03296712118447</v>
          </cell>
          <cell r="G195">
            <v>35.139742142168451</v>
          </cell>
          <cell r="H195">
            <v>12.578329486598014</v>
          </cell>
          <cell r="I195">
            <v>13.032059294358326</v>
          </cell>
          <cell r="J195">
            <v>13.480129627567203</v>
          </cell>
        </row>
        <row r="196">
          <cell r="B196" t="str">
            <v>EHYD-PUM00</v>
          </cell>
          <cell r="C196" t="str">
            <v>VAR_fout</v>
          </cell>
          <cell r="D196" t="str">
            <v>AUX_PUMP_OUT</v>
          </cell>
          <cell r="E196">
            <v>12.841922884393187</v>
          </cell>
          <cell r="F196">
            <v>16.03296712118447</v>
          </cell>
          <cell r="G196">
            <v>35.139742142168458</v>
          </cell>
          <cell r="H196">
            <v>12.578329486598012</v>
          </cell>
          <cell r="I196">
            <v>13.032059294358326</v>
          </cell>
          <cell r="J196">
            <v>13.480129627567203</v>
          </cell>
        </row>
        <row r="197">
          <cell r="B197" t="str">
            <v>EHYD-PUM00</v>
          </cell>
          <cell r="C197" t="str">
            <v>VAR_fin</v>
          </cell>
          <cell r="D197" t="str">
            <v>AUX_PUMP_IN</v>
          </cell>
          <cell r="E197">
            <v>16.052405614637909</v>
          </cell>
          <cell r="F197">
            <v>20.041210298465234</v>
          </cell>
          <cell r="G197">
            <v>43.924677762591742</v>
          </cell>
          <cell r="H197">
            <v>15.722910438358589</v>
          </cell>
          <cell r="I197">
            <v>16.290072965184848</v>
          </cell>
          <cell r="J197">
            <v>16.850160977562872</v>
          </cell>
        </row>
        <row r="198">
          <cell r="B198" t="str">
            <v>EHYD-PUM00</v>
          </cell>
          <cell r="C198" t="str">
            <v>VAR_fin</v>
          </cell>
          <cell r="D198" t="str">
            <v>ELC</v>
          </cell>
          <cell r="E198">
            <v>16.052405614637909</v>
          </cell>
          <cell r="F198">
            <v>20.041210298465234</v>
          </cell>
          <cell r="G198">
            <v>43.924677762591742</v>
          </cell>
          <cell r="H198">
            <v>15.722910438358589</v>
          </cell>
          <cell r="I198">
            <v>16.290072965184848</v>
          </cell>
          <cell r="J198">
            <v>16.850160977562872</v>
          </cell>
        </row>
        <row r="199">
          <cell r="B199" t="str">
            <v>EHYD-PUM00</v>
          </cell>
          <cell r="C199" t="str">
            <v>VAR_cap</v>
          </cell>
          <cell r="D199" t="str">
            <v>-</v>
          </cell>
          <cell r="E199">
            <v>3.3394499999999998</v>
          </cell>
          <cell r="F199">
            <v>3.97102894612105</v>
          </cell>
          <cell r="G199">
            <v>4.3594499999999998</v>
          </cell>
          <cell r="H199">
            <v>4.3594499999999998</v>
          </cell>
          <cell r="I199">
            <v>4.3594499999999998</v>
          </cell>
          <cell r="J199">
            <v>4.3594499999999998</v>
          </cell>
        </row>
        <row r="200">
          <cell r="B200" t="str">
            <v>RHNS-SHSTG-CHPNGA</v>
          </cell>
          <cell r="C200" t="str">
            <v>VAR_fout</v>
          </cell>
          <cell r="D200" t="str">
            <v>RHNS_LTH_CHPNGA</v>
          </cell>
          <cell r="E200">
            <v>3.7066965717101824E-4</v>
          </cell>
          <cell r="F200">
            <v>1.8536014265777649E-4</v>
          </cell>
          <cell r="G200">
            <v>1.418232740135841E-3</v>
          </cell>
          <cell r="H200">
            <v>2.9391262402679575E-4</v>
          </cell>
          <cell r="I200">
            <v>9.2325071505271184E-4</v>
          </cell>
          <cell r="J200">
            <v>1.9045130664420648E-4</v>
          </cell>
        </row>
        <row r="201">
          <cell r="B201" t="str">
            <v>RHNS-SHSTG-CHPNGA</v>
          </cell>
          <cell r="C201" t="str">
            <v>VAR_fout</v>
          </cell>
          <cell r="D201" t="str">
            <v>AUX_RNS-CHPNGA_OUT</v>
          </cell>
          <cell r="E201">
            <v>3.7066965717101927E-4</v>
          </cell>
          <cell r="F201">
            <v>1.8523665155673904E-4</v>
          </cell>
          <cell r="G201">
            <v>1.4167569516445454E-3</v>
          </cell>
          <cell r="H201">
            <v>2.9391262402679575E-4</v>
          </cell>
          <cell r="I201">
            <v>9.2325071505271498E-4</v>
          </cell>
          <cell r="J201">
            <v>1.904513066442067E-4</v>
          </cell>
        </row>
        <row r="202">
          <cell r="B202" t="str">
            <v>RHNS-SHSTG-CHPNGA</v>
          </cell>
          <cell r="C202" t="str">
            <v>VAR_fin</v>
          </cell>
          <cell r="D202" t="str">
            <v>RHNS_LTH_CHPNGA</v>
          </cell>
          <cell r="E202">
            <v>2.9130238711887305E-4</v>
          </cell>
          <cell r="F202">
            <v>2.4047309647952473E-4</v>
          </cell>
          <cell r="G202">
            <v>1.8254571490028901E-3</v>
          </cell>
          <cell r="H202">
            <v>3.6965107013425542E-4</v>
          </cell>
          <cell r="I202">
            <v>1.0884521083549025E-3</v>
          </cell>
          <cell r="J202">
            <v>1.514514444586778E-4</v>
          </cell>
        </row>
        <row r="203">
          <cell r="B203" t="str">
            <v>RHNS-SHSTG-CHPNGA</v>
          </cell>
          <cell r="C203" t="str">
            <v>VAR_fin</v>
          </cell>
          <cell r="D203" t="str">
            <v>AUX_RNS-CHPNGA_IN</v>
          </cell>
          <cell r="E203">
            <v>2.9130238711887305E-4</v>
          </cell>
          <cell r="F203">
            <v>2.4047309647952473E-4</v>
          </cell>
          <cell r="G203">
            <v>1.8254571490028901E-3</v>
          </cell>
          <cell r="H203">
            <v>3.6965107013425542E-4</v>
          </cell>
          <cell r="I203">
            <v>1.0884521083549025E-3</v>
          </cell>
          <cell r="J203">
            <v>1.514514444586778E-4</v>
          </cell>
        </row>
        <row r="204">
          <cell r="B204" t="str">
            <v>RHNS-SHSTG-CHPNGA</v>
          </cell>
          <cell r="C204" t="str">
            <v>VAR_ncap</v>
          </cell>
          <cell r="D204" t="str">
            <v>-</v>
          </cell>
          <cell r="E204">
            <v>1.0229489602990201E-3</v>
          </cell>
          <cell r="F204">
            <v>2.7800448354452701E-5</v>
          </cell>
          <cell r="G204">
            <v>1.7861048271699399E-5</v>
          </cell>
          <cell r="H204">
            <v>1.10899625113071E-5</v>
          </cell>
          <cell r="I204">
            <v>2.0048536072488502E-5</v>
          </cell>
          <cell r="J204">
            <v>7.8205311948310293E-6</v>
          </cell>
        </row>
        <row r="205">
          <cell r="B205" t="str">
            <v>RHNS-SHSTG-CHPNGA</v>
          </cell>
          <cell r="C205" t="str">
            <v>VAR_cap</v>
          </cell>
          <cell r="D205" t="str">
            <v>-</v>
          </cell>
          <cell r="E205">
            <v>1.0229489602990201E-3</v>
          </cell>
          <cell r="F205">
            <v>1.0489858491356597E-3</v>
          </cell>
          <cell r="G205">
            <v>1.0617772828144302E-3</v>
          </cell>
          <cell r="H205">
            <v>1.0560514850053613E-3</v>
          </cell>
          <cell r="I205">
            <v>9.0455517900204076E-4</v>
          </cell>
          <cell r="J205">
            <v>3.8816220677986591E-4</v>
          </cell>
        </row>
        <row r="206">
          <cell r="B206" t="str">
            <v>ITOT-CHPGFC</v>
          </cell>
          <cell r="C206" t="str">
            <v>VAR_fout</v>
          </cell>
          <cell r="D206" t="str">
            <v>ITOT_NKEV_GAS_ELC_CHP</v>
          </cell>
          <cell r="H206">
            <v>2.2930145714510742E-4</v>
          </cell>
          <cell r="I206">
            <v>2.724071708175315E-3</v>
          </cell>
          <cell r="J206">
            <v>1.0223222316030184E-3</v>
          </cell>
        </row>
        <row r="207">
          <cell r="B207" t="str">
            <v>ITOT-CHPGFC</v>
          </cell>
          <cell r="C207" t="str">
            <v>VAR_fout</v>
          </cell>
          <cell r="D207" t="str">
            <v>ITOT_LTH_CHP</v>
          </cell>
          <cell r="H207">
            <v>1.146507285725537E-4</v>
          </cell>
          <cell r="I207">
            <v>1.2245826945008296E-3</v>
          </cell>
          <cell r="J207">
            <v>4.12515988190692E-4</v>
          </cell>
        </row>
        <row r="208">
          <cell r="B208" t="str">
            <v>ITOT-CHPGFC</v>
          </cell>
          <cell r="C208" t="str">
            <v>VAR_fout</v>
          </cell>
          <cell r="D208" t="str">
            <v>CO2_I</v>
          </cell>
          <cell r="H208">
            <v>2.4870388813430899E-2</v>
          </cell>
          <cell r="I208">
            <v>0.28190393457080298</v>
          </cell>
          <cell r="J208">
            <v>0.101156094495457</v>
          </cell>
        </row>
        <row r="209">
          <cell r="B209" t="str">
            <v>ITOT-CHPGFC</v>
          </cell>
          <cell r="C209" t="str">
            <v>VAR_fin</v>
          </cell>
          <cell r="D209" t="str">
            <v>INGA</v>
          </cell>
          <cell r="H209">
            <v>4.4096434066366786E-4</v>
          </cell>
          <cell r="I209">
            <v>4.9982967122482874E-3</v>
          </cell>
          <cell r="J209">
            <v>1.7935477747421384E-3</v>
          </cell>
        </row>
        <row r="210">
          <cell r="B210" t="str">
            <v>ITOT-CHPGFC</v>
          </cell>
          <cell r="C210" t="str">
            <v>VAR_ncap</v>
          </cell>
          <cell r="D210" t="str">
            <v>-</v>
          </cell>
          <cell r="H210">
            <v>4.26852785957005E-5</v>
          </cell>
          <cell r="I210">
            <v>6.6720743148770506E-5</v>
          </cell>
          <cell r="J210">
            <v>1.09438529978138E-6</v>
          </cell>
        </row>
        <row r="211">
          <cell r="B211" t="str">
            <v>ITOT-CHPGFC</v>
          </cell>
          <cell r="C211" t="str">
            <v>VAR_cap</v>
          </cell>
          <cell r="D211" t="str">
            <v>-</v>
          </cell>
          <cell r="H211">
            <v>4.26852785957005E-5</v>
          </cell>
          <cell r="I211">
            <v>1.4251587030226991E-4</v>
          </cell>
          <cell r="J211">
            <v>6.9217902233026908E-5</v>
          </cell>
        </row>
        <row r="212">
          <cell r="B212" t="str">
            <v>ITOT-SWSTG-CHP</v>
          </cell>
          <cell r="C212" t="str">
            <v>VAR_fout</v>
          </cell>
          <cell r="D212" t="str">
            <v>ITOT_LTH_CHP</v>
          </cell>
          <cell r="E212">
            <v>2.8158509551506341E-4</v>
          </cell>
          <cell r="F212">
            <v>1.037182137668997E-4</v>
          </cell>
          <cell r="G212">
            <v>1.0368486560527362E-2</v>
          </cell>
          <cell r="H212">
            <v>6.2446094806742987E-4</v>
          </cell>
          <cell r="I212">
            <v>0.16283382303860947</v>
          </cell>
          <cell r="J212">
            <v>0.54016760216406468</v>
          </cell>
        </row>
        <row r="213">
          <cell r="B213" t="str">
            <v>ITOT-SWSTG-CHP</v>
          </cell>
          <cell r="C213" t="str">
            <v>VAR_fout</v>
          </cell>
          <cell r="D213" t="str">
            <v>AUX_ITOT-CHP_OUT</v>
          </cell>
          <cell r="E213">
            <v>2.8158509551506287E-4</v>
          </cell>
          <cell r="F213">
            <v>1.036335069413025E-4</v>
          </cell>
          <cell r="G213">
            <v>1.0355261450118516E-2</v>
          </cell>
          <cell r="H213">
            <v>6.2446094806743095E-4</v>
          </cell>
          <cell r="I213">
            <v>0.16283382303860952</v>
          </cell>
          <cell r="J213">
            <v>0.54016760216406479</v>
          </cell>
        </row>
        <row r="214">
          <cell r="B214" t="str">
            <v>ITOT-SWSTG-CHP</v>
          </cell>
          <cell r="C214" t="str">
            <v>VAR_fin</v>
          </cell>
          <cell r="D214" t="str">
            <v>ITOT_LTH_CHP</v>
          </cell>
          <cell r="E214">
            <v>3.1147127875480197E-4</v>
          </cell>
          <cell r="F214">
            <v>1.2719890797093081E-4</v>
          </cell>
          <cell r="G214">
            <v>1.2346444503635718E-2</v>
          </cell>
          <cell r="H214">
            <v>7.2229178489155064E-4</v>
          </cell>
          <cell r="I214">
            <v>0.17509314830689648</v>
          </cell>
          <cell r="J214">
            <v>0.54562590901201669</v>
          </cell>
        </row>
        <row r="215">
          <cell r="B215" t="str">
            <v>ITOT-SWSTG-CHP</v>
          </cell>
          <cell r="C215" t="str">
            <v>VAR_fin</v>
          </cell>
          <cell r="D215" t="str">
            <v>AUX_ITOT-CHP_IN</v>
          </cell>
          <cell r="E215">
            <v>3.1147127875480197E-4</v>
          </cell>
          <cell r="F215">
            <v>1.2719890797093081E-4</v>
          </cell>
          <cell r="G215">
            <v>1.2346444503635718E-2</v>
          </cell>
          <cell r="H215">
            <v>7.2229178489155064E-4</v>
          </cell>
          <cell r="I215">
            <v>0.17509314830689648</v>
          </cell>
          <cell r="J215">
            <v>0.54562590901201669</v>
          </cell>
        </row>
        <row r="216">
          <cell r="B216" t="str">
            <v>ITOT-SWSTG-CHP</v>
          </cell>
          <cell r="C216" t="str">
            <v>VAR_ncap</v>
          </cell>
          <cell r="D216" t="str">
            <v>-</v>
          </cell>
          <cell r="E216">
            <v>1.2017893181332901E-3</v>
          </cell>
          <cell r="F216">
            <v>1.30455195754823E-5</v>
          </cell>
          <cell r="G216">
            <v>1.30747040368541E-5</v>
          </cell>
          <cell r="H216">
            <v>8.6886248044595593E-6</v>
          </cell>
          <cell r="I216">
            <v>1.20615549462357E-2</v>
          </cell>
          <cell r="J216">
            <v>0.11386012883194099</v>
          </cell>
        </row>
        <row r="217">
          <cell r="B217" t="str">
            <v>ITOT-SWSTG-CHP</v>
          </cell>
          <cell r="C217" t="str">
            <v>VAR_cap</v>
          </cell>
          <cell r="D217" t="str">
            <v>-</v>
          </cell>
          <cell r="E217">
            <v>1.2118580091355763E-3</v>
          </cell>
          <cell r="F217">
            <v>1.2209375546684432E-3</v>
          </cell>
          <cell r="G217">
            <v>1.2269017568433762E-3</v>
          </cell>
          <cell r="H217">
            <v>1.2129259474184203E-3</v>
          </cell>
          <cell r="I217">
            <v>4.4021895266570688E-2</v>
          </cell>
          <cell r="J217">
            <v>0.13612674492723673</v>
          </cell>
        </row>
        <row r="218">
          <cell r="B218" t="str">
            <v>D-ELFO</v>
          </cell>
          <cell r="C218" t="str">
            <v>VAR_fout</v>
          </cell>
          <cell r="D218" t="str">
            <v>CO2</v>
          </cell>
          <cell r="E218">
            <v>26.383783520098</v>
          </cell>
          <cell r="F218">
            <v>16.383116732623101</v>
          </cell>
          <cell r="G218">
            <v>5.5385644667565002</v>
          </cell>
          <cell r="H218">
            <v>4.8771235164047004</v>
          </cell>
          <cell r="I218">
            <v>36.9625128668374</v>
          </cell>
          <cell r="J218">
            <v>1.7268202090473101E-2</v>
          </cell>
        </row>
        <row r="219">
          <cell r="B219" t="str">
            <v>D-ELFO</v>
          </cell>
          <cell r="C219" t="str">
            <v>VAR_fout</v>
          </cell>
          <cell r="D219" t="str">
            <v>ELFO</v>
          </cell>
          <cell r="E219">
            <v>0.35201008938632417</v>
          </cell>
          <cell r="F219">
            <v>0.21858208399429049</v>
          </cell>
          <cell r="G219">
            <v>7.3895033725156628E-2</v>
          </cell>
          <cell r="H219">
            <v>6.5070147488512517E-2</v>
          </cell>
          <cell r="I219">
            <v>0.49315055394868734</v>
          </cell>
          <cell r="J219">
            <v>2.3039081399292669E-4</v>
          </cell>
        </row>
        <row r="220">
          <cell r="B220" t="str">
            <v>D-ELFO</v>
          </cell>
          <cell r="C220" t="str">
            <v>VAR_fin</v>
          </cell>
          <cell r="D220" t="str">
            <v>LFO</v>
          </cell>
          <cell r="E220">
            <v>0.35798892157527817</v>
          </cell>
          <cell r="F220">
            <v>0.22229466394332567</v>
          </cell>
          <cell r="G220">
            <v>7.5150128449884585E-2</v>
          </cell>
          <cell r="H220">
            <v>6.617535300413431E-2</v>
          </cell>
          <cell r="I220">
            <v>0.50152663319996404</v>
          </cell>
          <cell r="J220">
            <v>2.3430396323572699E-4</v>
          </cell>
        </row>
        <row r="221">
          <cell r="B221" t="str">
            <v>EHYD-DAM00</v>
          </cell>
          <cell r="C221" t="str">
            <v>VAR_fout</v>
          </cell>
          <cell r="D221" t="str">
            <v>ELC</v>
          </cell>
          <cell r="E221">
            <v>66.745680254990347</v>
          </cell>
          <cell r="F221">
            <v>49.790513213820944</v>
          </cell>
          <cell r="G221">
            <v>68.495745672294504</v>
          </cell>
          <cell r="H221">
            <v>69.95386468381588</v>
          </cell>
          <cell r="I221">
            <v>70.213673014785755</v>
          </cell>
          <cell r="J221">
            <v>71.392916103497967</v>
          </cell>
        </row>
        <row r="222">
          <cell r="B222" t="str">
            <v>EHYD-DAM00</v>
          </cell>
          <cell r="C222" t="str">
            <v>VAR_fin</v>
          </cell>
          <cell r="D222" t="str">
            <v>HYDD</v>
          </cell>
          <cell r="E222">
            <v>66.745680254990347</v>
          </cell>
          <cell r="F222">
            <v>49.790513213820944</v>
          </cell>
          <cell r="G222">
            <v>68.495745672294504</v>
          </cell>
          <cell r="H222">
            <v>69.95386468381588</v>
          </cell>
          <cell r="I222">
            <v>70.213673014785755</v>
          </cell>
          <cell r="J222">
            <v>71.392916103497967</v>
          </cell>
        </row>
        <row r="223">
          <cell r="B223" t="str">
            <v>EHYD-DAM00</v>
          </cell>
          <cell r="C223" t="str">
            <v>VAR_cap</v>
          </cell>
          <cell r="D223" t="str">
            <v>-</v>
          </cell>
          <cell r="E223">
            <v>7.3394300010600002</v>
          </cell>
          <cell r="F223">
            <v>7.3394300010600002</v>
          </cell>
          <cell r="G223">
            <v>7.3394300010600002</v>
          </cell>
          <cell r="H223">
            <v>7.3394300010600002</v>
          </cell>
          <cell r="I223">
            <v>7.3394300010600002</v>
          </cell>
          <cell r="J223">
            <v>7.3394300010600002</v>
          </cell>
        </row>
        <row r="224">
          <cell r="B224" t="str">
            <v>RHES-SHSTG-CHPWOD</v>
          </cell>
          <cell r="C224" t="str">
            <v>VAR_fout</v>
          </cell>
          <cell r="D224" t="str">
            <v>AUX_RES-CHPWOD_OUT</v>
          </cell>
          <cell r="E224">
            <v>3.585548510162564E-4</v>
          </cell>
          <cell r="F224">
            <v>2.2805847194564991E-4</v>
          </cell>
          <cell r="G224">
            <v>1.4587223850914206E-4</v>
          </cell>
          <cell r="H224">
            <v>2.5753288461617761E-4</v>
          </cell>
          <cell r="I224">
            <v>8.821356882576755E-4</v>
          </cell>
          <cell r="J224">
            <v>5.6239944699943767E-4</v>
          </cell>
        </row>
        <row r="225">
          <cell r="B225" t="str">
            <v>RHES-SHSTG-CHPWOD</v>
          </cell>
          <cell r="C225" t="str">
            <v>VAR_fout</v>
          </cell>
          <cell r="D225" t="str">
            <v>RHES_LTH_CHPWOD</v>
          </cell>
          <cell r="E225">
            <v>3.5855485101625559E-4</v>
          </cell>
          <cell r="F225">
            <v>2.2821051092694649E-4</v>
          </cell>
          <cell r="G225">
            <v>1.4602418875758893E-4</v>
          </cell>
          <cell r="H225">
            <v>2.5753288461617761E-4</v>
          </cell>
          <cell r="I225">
            <v>8.8213568825767214E-4</v>
          </cell>
          <cell r="J225">
            <v>5.6239944699943735E-4</v>
          </cell>
        </row>
        <row r="226">
          <cell r="B226" t="str">
            <v>RHES-SHSTG-CHPWOD</v>
          </cell>
          <cell r="C226" t="str">
            <v>VAR_fin</v>
          </cell>
          <cell r="D226" t="str">
            <v>AUX_RES-CHPWOD_IN</v>
          </cell>
          <cell r="E226">
            <v>2.8184646810217685E-4</v>
          </cell>
          <cell r="F226">
            <v>1.399715302956806E-4</v>
          </cell>
          <cell r="G226">
            <v>1.1557863674016696E-4</v>
          </cell>
          <cell r="H226">
            <v>3.2417639586963549E-4</v>
          </cell>
          <cell r="I226">
            <v>1.0400669821685154E-3</v>
          </cell>
          <cell r="J226">
            <v>6.2722593193056833E-4</v>
          </cell>
        </row>
        <row r="227">
          <cell r="B227" t="str">
            <v>RHES-SHSTG-CHPWOD</v>
          </cell>
          <cell r="C227" t="str">
            <v>VAR_fin</v>
          </cell>
          <cell r="D227" t="str">
            <v>RHES_LTH_CHPWOD</v>
          </cell>
          <cell r="E227">
            <v>2.8184646810217685E-4</v>
          </cell>
          <cell r="F227">
            <v>1.399715302956806E-4</v>
          </cell>
          <cell r="G227">
            <v>1.1557863674016696E-4</v>
          </cell>
          <cell r="H227">
            <v>3.2417639586963549E-4</v>
          </cell>
          <cell r="I227">
            <v>1.0400669821685154E-3</v>
          </cell>
          <cell r="J227">
            <v>6.2722593193056833E-4</v>
          </cell>
        </row>
        <row r="228">
          <cell r="B228" t="str">
            <v>RHES-SHSTG-CHPWOD</v>
          </cell>
          <cell r="C228" t="str">
            <v>VAR_ncap</v>
          </cell>
          <cell r="D228" t="str">
            <v>-</v>
          </cell>
          <cell r="E228">
            <v>7.4271469654916904E-4</v>
          </cell>
          <cell r="F228">
            <v>1.5896741697035801E-5</v>
          </cell>
          <cell r="G228">
            <v>2.4606227109566099E-5</v>
          </cell>
          <cell r="H228">
            <v>2.02248964523364E-5</v>
          </cell>
          <cell r="I228">
            <v>5.8115305707189599E-5</v>
          </cell>
          <cell r="J228">
            <v>1.3087421139066201E-4</v>
          </cell>
        </row>
        <row r="229">
          <cell r="B229" t="str">
            <v>RHES-SHSTG-CHPWOD</v>
          </cell>
          <cell r="C229" t="str">
            <v>VAR_cap</v>
          </cell>
          <cell r="D229" t="str">
            <v>-</v>
          </cell>
          <cell r="E229">
            <v>7.4271469654916904E-4</v>
          </cell>
          <cell r="F229">
            <v>7.5653853167029455E-4</v>
          </cell>
          <cell r="G229">
            <v>7.7525495302722329E-4</v>
          </cell>
          <cell r="H229">
            <v>7.8724964975180288E-4</v>
          </cell>
          <cell r="I229">
            <v>1.0275064269696728E-3</v>
          </cell>
          <cell r="J229">
            <v>5.7430831117276924E-4</v>
          </cell>
        </row>
        <row r="230">
          <cell r="B230" t="str">
            <v>G-INTC-IND</v>
          </cell>
          <cell r="C230" t="str">
            <v>VAR_fout</v>
          </cell>
          <cell r="D230" t="str">
            <v>ELC35</v>
          </cell>
          <cell r="E230">
            <v>2.4551664597095178E-3</v>
          </cell>
          <cell r="F230">
            <v>9.4180731374848598E-4</v>
          </cell>
          <cell r="G230">
            <v>1.0309292289715371E-3</v>
          </cell>
          <cell r="H230">
            <v>4.3197966249700434E-4</v>
          </cell>
          <cell r="I230">
            <v>6.1362029152278947E-4</v>
          </cell>
          <cell r="J230">
            <v>4.4463804783726976E-4</v>
          </cell>
        </row>
        <row r="231">
          <cell r="B231" t="str">
            <v>G-INTC-IND</v>
          </cell>
          <cell r="C231" t="str">
            <v>VAR_fout</v>
          </cell>
          <cell r="D231" t="str">
            <v>ITOT_ELC</v>
          </cell>
          <cell r="E231">
            <v>55.817983584818329</v>
          </cell>
          <cell r="F231">
            <v>57.469144665188146</v>
          </cell>
          <cell r="G231">
            <v>52.679165839185174</v>
          </cell>
          <cell r="H231">
            <v>49.271806708336193</v>
          </cell>
          <cell r="I231">
            <v>34.700826987696587</v>
          </cell>
          <cell r="J231">
            <v>30.759706078888964</v>
          </cell>
        </row>
        <row r="232">
          <cell r="B232" t="str">
            <v>G-INTC-IND</v>
          </cell>
          <cell r="C232" t="str">
            <v>VAR_fout</v>
          </cell>
          <cell r="D232" t="str">
            <v>ELC13</v>
          </cell>
          <cell r="E232">
            <v>2.2945460351460629E-3</v>
          </cell>
          <cell r="F232">
            <v>6.5276941742672262E-4</v>
          </cell>
          <cell r="G232">
            <v>8.4402730300467714E-4</v>
          </cell>
          <cell r="H232">
            <v>3.2710652188654794E-4</v>
          </cell>
          <cell r="I232">
            <v>4.5116052662787503E-4</v>
          </cell>
          <cell r="J232">
            <v>3.4931769022554125E-4</v>
          </cell>
        </row>
        <row r="233">
          <cell r="B233" t="str">
            <v>G-INTC-IND</v>
          </cell>
          <cell r="C233" t="str">
            <v>VAR_fin</v>
          </cell>
          <cell r="D233" t="str">
            <v>ELC3</v>
          </cell>
          <cell r="E233">
            <v>25.751370077299114</v>
          </cell>
          <cell r="F233">
            <v>57.468565552502561</v>
          </cell>
          <cell r="G233">
            <v>52.676569080551808</v>
          </cell>
          <cell r="H233">
            <v>22.574606328272559</v>
          </cell>
          <cell r="I233">
            <v>15.761499321651955</v>
          </cell>
          <cell r="J233">
            <v>13.881398316824514</v>
          </cell>
        </row>
        <row r="234">
          <cell r="B234" t="str">
            <v>G-INTC-IND</v>
          </cell>
          <cell r="C234" t="str">
            <v>VAR_fin</v>
          </cell>
          <cell r="D234" t="str">
            <v>ELC5</v>
          </cell>
          <cell r="E234">
            <v>30.071342037033844</v>
          </cell>
          <cell r="F234">
            <v>2.1653107046724182E-3</v>
          </cell>
          <cell r="G234">
            <v>4.4606248289929843E-3</v>
          </cell>
          <cell r="H234">
            <v>26.697944232433439</v>
          </cell>
          <cell r="I234">
            <v>18.940392446862791</v>
          </cell>
          <cell r="J234">
            <v>16.879090109021291</v>
          </cell>
        </row>
        <row r="235">
          <cell r="B235" t="str">
            <v>G-INTC-IND</v>
          </cell>
          <cell r="C235" t="str">
            <v>VAR_ncap</v>
          </cell>
          <cell r="D235" t="str">
            <v>-</v>
          </cell>
          <cell r="E235">
            <v>1.7848430291988999E-7</v>
          </cell>
          <cell r="F235">
            <v>1.77808396436126E-7</v>
          </cell>
          <cell r="G235">
            <v>1.7097524892601401E-7</v>
          </cell>
          <cell r="H235">
            <v>2.2184980150293699E-7</v>
          </cell>
          <cell r="I235">
            <v>2.9890648626183099E-7</v>
          </cell>
          <cell r="J235">
            <v>5.9739682625258302E-7</v>
          </cell>
        </row>
        <row r="236">
          <cell r="B236" t="str">
            <v>G-INTC-IND</v>
          </cell>
          <cell r="C236" t="str">
            <v>VAR_cap</v>
          </cell>
          <cell r="D236" t="str">
            <v>-</v>
          </cell>
          <cell r="E236">
            <v>4.4927373631622096</v>
          </cell>
          <cell r="F236">
            <v>4.4927374211940903</v>
          </cell>
          <cell r="G236">
            <v>4.492737719454909</v>
          </cell>
          <cell r="H236">
            <v>4.4927380124895544</v>
          </cell>
          <cell r="I236">
            <v>4.4927384824303553</v>
          </cell>
          <cell r="J236">
            <v>4.4927390794687962</v>
          </cell>
        </row>
        <row r="237">
          <cell r="B237" t="str">
            <v>D-IH2R</v>
          </cell>
          <cell r="C237" t="str">
            <v>VAR_fout</v>
          </cell>
          <cell r="D237" t="str">
            <v>IH2</v>
          </cell>
          <cell r="E237"/>
          <cell r="F237"/>
          <cell r="G237"/>
          <cell r="H237">
            <v>3.0939847773113209E-3</v>
          </cell>
          <cell r="I237">
            <v>4.6604982436443407</v>
          </cell>
          <cell r="J237">
            <v>7.3046087449321622</v>
          </cell>
        </row>
        <row r="238">
          <cell r="B238" t="str">
            <v>D-IH2R</v>
          </cell>
          <cell r="C238" t="str">
            <v>VAR_fin</v>
          </cell>
          <cell r="D238" t="str">
            <v>H2</v>
          </cell>
          <cell r="E238"/>
          <cell r="F238"/>
          <cell r="G238"/>
          <cell r="H238">
            <v>3.0939847773113209E-3</v>
          </cell>
          <cell r="I238">
            <v>4.6604982436443407</v>
          </cell>
          <cell r="J238">
            <v>7.3046087449321622</v>
          </cell>
        </row>
        <row r="239">
          <cell r="B239" t="str">
            <v>D-IH2R</v>
          </cell>
          <cell r="C239" t="str">
            <v>VAR_ncap</v>
          </cell>
          <cell r="D239" t="str">
            <v>-</v>
          </cell>
          <cell r="E239"/>
          <cell r="F239"/>
          <cell r="G239"/>
          <cell r="H239">
            <v>1.7658170655340501E-4</v>
          </cell>
          <cell r="I239">
            <v>0.14286529521227601</v>
          </cell>
          <cell r="J239">
            <v>0.20843014181036301</v>
          </cell>
        </row>
        <row r="240">
          <cell r="B240" t="str">
            <v>D-IH2R</v>
          </cell>
          <cell r="C240" t="str">
            <v>VAR_cap</v>
          </cell>
          <cell r="D240" t="str">
            <v>-</v>
          </cell>
          <cell r="E240"/>
          <cell r="F240"/>
          <cell r="G240"/>
          <cell r="H240">
            <v>1.7658170655340501E-4</v>
          </cell>
          <cell r="I240">
            <v>0.16577352918548299</v>
          </cell>
          <cell r="J240">
            <v>0.25736454084297</v>
          </cell>
        </row>
        <row r="241">
          <cell r="B241" t="str">
            <v>ESOL-PV_E</v>
          </cell>
          <cell r="C241" t="str">
            <v>VAR_fout</v>
          </cell>
          <cell r="D241" t="str">
            <v>CELC_E</v>
          </cell>
          <cell r="E241"/>
          <cell r="F241"/>
          <cell r="G241"/>
          <cell r="H241">
            <v>1.9873231057281272E-6</v>
          </cell>
          <cell r="I241">
            <v>1.1203295106877704</v>
          </cell>
          <cell r="J241">
            <v>1.4764495106845188</v>
          </cell>
        </row>
        <row r="242">
          <cell r="B242" t="str">
            <v>ESOL-PV_E</v>
          </cell>
          <cell r="C242" t="str">
            <v>VAR_fin</v>
          </cell>
          <cell r="D242" t="str">
            <v>SOL</v>
          </cell>
          <cell r="E242"/>
          <cell r="F242"/>
          <cell r="G242"/>
          <cell r="H242">
            <v>1.9873231057281272E-6</v>
          </cell>
          <cell r="I242">
            <v>1.1203295106877704</v>
          </cell>
          <cell r="J242">
            <v>1.4764495106845188</v>
          </cell>
        </row>
        <row r="243">
          <cell r="B243" t="str">
            <v>ESOL-PV_E</v>
          </cell>
          <cell r="C243" t="str">
            <v>VAR_fin</v>
          </cell>
          <cell r="D243" t="str">
            <v>SOLPVC</v>
          </cell>
          <cell r="E243"/>
          <cell r="F243"/>
          <cell r="G243"/>
          <cell r="H243">
            <v>1.9873231057281301E-6</v>
          </cell>
          <cell r="I243">
            <v>1.12032951068777</v>
          </cell>
          <cell r="J243">
            <v>1.4764495106845199</v>
          </cell>
        </row>
        <row r="244">
          <cell r="B244" t="str">
            <v>ESOL-PV_E</v>
          </cell>
          <cell r="C244" t="str">
            <v>VAR_ncap</v>
          </cell>
          <cell r="D244" t="str">
            <v>-</v>
          </cell>
          <cell r="E244"/>
          <cell r="F244"/>
          <cell r="G244"/>
          <cell r="H244">
            <v>6.8198494226152005E-7</v>
          </cell>
          <cell r="I244">
            <v>0.32292869665736401</v>
          </cell>
          <cell r="J244">
            <v>0.102660230163899</v>
          </cell>
        </row>
        <row r="245">
          <cell r="B245" t="str">
            <v>ESOL-PV_E</v>
          </cell>
          <cell r="C245" t="str">
            <v>VAR_cap</v>
          </cell>
          <cell r="D245" t="str">
            <v>-</v>
          </cell>
          <cell r="E245"/>
          <cell r="F245"/>
          <cell r="G245"/>
          <cell r="H245">
            <v>6.8198494226152005E-7</v>
          </cell>
          <cell r="I245">
            <v>0.32295937502180899</v>
          </cell>
          <cell r="J245">
            <v>0.42561960518570802</v>
          </cell>
        </row>
        <row r="246">
          <cell r="B246" t="str">
            <v>EWSTINC</v>
          </cell>
          <cell r="C246" t="str">
            <v>VAR_fout</v>
          </cell>
          <cell r="D246" t="str">
            <v>ELC35</v>
          </cell>
          <cell r="E246">
            <v>6.5070009628119632</v>
          </cell>
          <cell r="F246">
            <v>7.3027682555643674</v>
          </cell>
          <cell r="G246">
            <v>7.411998323261578</v>
          </cell>
          <cell r="H246">
            <v>7.3981386529536772</v>
          </cell>
          <cell r="I246">
            <v>5.0322515952326246</v>
          </cell>
          <cell r="J246">
            <v>4.6999671370214378</v>
          </cell>
        </row>
        <row r="247">
          <cell r="B247" t="str">
            <v>EWSTINC</v>
          </cell>
          <cell r="C247" t="str">
            <v>VAR_fout</v>
          </cell>
          <cell r="D247" t="str">
            <v>CO2_E</v>
          </cell>
          <cell r="E247">
            <v>1689.29344637704</v>
          </cell>
          <cell r="F247">
            <v>1895.8839294844699</v>
          </cell>
          <cell r="G247">
            <v>1924.2413307762199</v>
          </cell>
          <cell r="H247">
            <v>1920.6431984947101</v>
          </cell>
          <cell r="I247">
            <v>1306.43128669114</v>
          </cell>
          <cell r="J247">
            <v>1220.1663605297399</v>
          </cell>
        </row>
        <row r="248">
          <cell r="B248" t="str">
            <v>EWSTINC</v>
          </cell>
          <cell r="C248" t="str">
            <v>VAR_fin</v>
          </cell>
          <cell r="D248" t="str">
            <v>EWST</v>
          </cell>
          <cell r="E248">
            <v>18.203593172166432</v>
          </cell>
          <cell r="F248">
            <v>20.429783722893049</v>
          </cell>
          <cell r="G248">
            <v>20.735359167847193</v>
          </cell>
          <cell r="H248">
            <v>20.69658619067577</v>
          </cell>
          <cell r="I248">
            <v>14.077923347964834</v>
          </cell>
          <cell r="J248">
            <v>13.148344402260145</v>
          </cell>
        </row>
        <row r="249">
          <cell r="B249" t="str">
            <v>EWSTINC</v>
          </cell>
          <cell r="C249" t="str">
            <v>VAR_ncap</v>
          </cell>
          <cell r="D249" t="str">
            <v>-</v>
          </cell>
          <cell r="E249"/>
          <cell r="F249">
            <v>7.0033082040769399E-8</v>
          </cell>
          <cell r="G249">
            <v>2.0263736607599799E-7</v>
          </cell>
          <cell r="H249">
            <v>6.7311437908480196E-2</v>
          </cell>
          <cell r="I249">
            <v>1.7990978152632599E-2</v>
          </cell>
          <cell r="J249">
            <v>6.0282919947674102E-8</v>
          </cell>
        </row>
        <row r="250">
          <cell r="B250" t="str">
            <v>EWSTINC</v>
          </cell>
          <cell r="C250" t="str">
            <v>VAR_cap</v>
          </cell>
          <cell r="D250" t="str">
            <v>-</v>
          </cell>
          <cell r="E250">
            <v>0.27651080068735434</v>
          </cell>
          <cell r="F250">
            <v>0.27650963725298439</v>
          </cell>
          <cell r="G250">
            <v>0.27650954087181223</v>
          </cell>
          <cell r="H250">
            <v>0.27599233269968193</v>
          </cell>
          <cell r="I250">
            <v>0.26467578748887233</v>
          </cell>
          <cell r="J250">
            <v>0.18715659277568719</v>
          </cell>
        </row>
        <row r="251">
          <cell r="B251" t="str">
            <v>D-IBIO</v>
          </cell>
          <cell r="C251" t="str">
            <v>VAR_fout</v>
          </cell>
          <cell r="D251" t="str">
            <v>IBIO</v>
          </cell>
          <cell r="E251">
            <v>0.43674914105609136</v>
          </cell>
          <cell r="F251">
            <v>0.55207105690642666</v>
          </cell>
          <cell r="G251">
            <v>4.2703934225300229</v>
          </cell>
          <cell r="H251">
            <v>8.372233475412644</v>
          </cell>
          <cell r="I251">
            <v>8.8293064427204691</v>
          </cell>
          <cell r="J251">
            <v>10.140440428440646</v>
          </cell>
        </row>
        <row r="252">
          <cell r="B252" t="str">
            <v>D-IBIO</v>
          </cell>
          <cell r="C252" t="str">
            <v>VAR_fin</v>
          </cell>
          <cell r="D252" t="str">
            <v>BIO</v>
          </cell>
          <cell r="E252">
            <v>0.43674914105609136</v>
          </cell>
          <cell r="F252">
            <v>0.55207105690642666</v>
          </cell>
          <cell r="G252">
            <v>4.2703934225300229</v>
          </cell>
          <cell r="H252">
            <v>8.372233475412644</v>
          </cell>
          <cell r="I252">
            <v>8.8293064427204691</v>
          </cell>
          <cell r="J252">
            <v>10.140440428440646</v>
          </cell>
        </row>
        <row r="253">
          <cell r="B253" t="str">
            <v>D-EWOD</v>
          </cell>
          <cell r="C253" t="str">
            <v>VAR_fout</v>
          </cell>
          <cell r="D253" t="str">
            <v>EWOD</v>
          </cell>
          <cell r="E253">
            <v>3.3406309889271921</v>
          </cell>
          <cell r="F253">
            <v>1.7229852537795487</v>
          </cell>
          <cell r="G253">
            <v>1.4780131603965578</v>
          </cell>
          <cell r="H253">
            <v>5.0433474640241229</v>
          </cell>
          <cell r="I253">
            <v>5.8179015828891814</v>
          </cell>
          <cell r="J253">
            <v>5.661395484270308</v>
          </cell>
        </row>
        <row r="254">
          <cell r="B254" t="str">
            <v>D-EWOD</v>
          </cell>
          <cell r="C254" t="str">
            <v>VAR_fin</v>
          </cell>
          <cell r="D254" t="str">
            <v>WOD</v>
          </cell>
          <cell r="E254">
            <v>3.3406309889271921</v>
          </cell>
          <cell r="F254">
            <v>1.7229852537795487</v>
          </cell>
          <cell r="G254">
            <v>1.4780131603965578</v>
          </cell>
          <cell r="H254">
            <v>5.0433474640241229</v>
          </cell>
          <cell r="I254">
            <v>5.8179015828891814</v>
          </cell>
          <cell r="J254">
            <v>5.661395484270308</v>
          </cell>
        </row>
        <row r="255">
          <cell r="B255" t="str">
            <v>HPLWOD</v>
          </cell>
          <cell r="C255" t="str">
            <v>VAR_fout</v>
          </cell>
          <cell r="D255" t="str">
            <v>LTH</v>
          </cell>
          <cell r="E255">
            <v>1.3359053111907238</v>
          </cell>
          <cell r="F255">
            <v>1.2056521777917923</v>
          </cell>
          <cell r="G255">
            <v>1.0337007755821053</v>
          </cell>
          <cell r="H255">
            <v>0.79986073803141877</v>
          </cell>
          <cell r="I255">
            <v>1.0095667302084097</v>
          </cell>
          <cell r="J255">
            <v>0.60447942245546993</v>
          </cell>
        </row>
        <row r="256">
          <cell r="B256" t="str">
            <v>HPLWOD</v>
          </cell>
          <cell r="C256" t="str">
            <v>VAR_fin</v>
          </cell>
          <cell r="D256" t="str">
            <v>EWOD</v>
          </cell>
          <cell r="E256">
            <v>1.9084361588438912</v>
          </cell>
          <cell r="F256">
            <v>1.7223602539882741</v>
          </cell>
          <cell r="G256">
            <v>1.4767153936887218</v>
          </cell>
          <cell r="H256">
            <v>1.1426581971877399</v>
          </cell>
          <cell r="I256">
            <v>1.4422381860120135</v>
          </cell>
          <cell r="J256">
            <v>0.86354203207924229</v>
          </cell>
        </row>
        <row r="257">
          <cell r="B257" t="str">
            <v>HPLWOD</v>
          </cell>
          <cell r="C257" t="str">
            <v>VAR_ncap</v>
          </cell>
          <cell r="D257" t="str">
            <v>-</v>
          </cell>
          <cell r="E257">
            <v>0.169445317869345</v>
          </cell>
          <cell r="F257">
            <v>5.3169501539933299E-7</v>
          </cell>
          <cell r="G257">
            <v>5.6324086392566795E-7</v>
          </cell>
          <cell r="H257">
            <v>6.2520294105856199E-7</v>
          </cell>
          <cell r="I257">
            <v>6.9832859042721795E-2</v>
          </cell>
          <cell r="J257">
            <v>2.4199791242396702E-2</v>
          </cell>
        </row>
        <row r="258">
          <cell r="B258" t="str">
            <v>HPLWOD</v>
          </cell>
          <cell r="C258" t="str">
            <v>VAR_cap</v>
          </cell>
          <cell r="D258" t="str">
            <v>-</v>
          </cell>
          <cell r="E258">
            <v>0.169445317869345</v>
          </cell>
          <cell r="F258">
            <v>0.16944584956436001</v>
          </cell>
          <cell r="G258">
            <v>0.16944641280522399</v>
          </cell>
          <cell r="H258">
            <v>0.16944703800816499</v>
          </cell>
          <cell r="I258">
            <v>0.12913610706958101</v>
          </cell>
          <cell r="J258">
            <v>9.4039852673049706E-2</v>
          </cell>
        </row>
        <row r="259">
          <cell r="B259" t="str">
            <v>ENGA-GTCC</v>
          </cell>
          <cell r="C259" t="str">
            <v>VAR_fout</v>
          </cell>
          <cell r="D259" t="str">
            <v>ELC13</v>
          </cell>
          <cell r="E259"/>
          <cell r="F259"/>
          <cell r="G259"/>
          <cell r="H259"/>
          <cell r="I259">
            <v>9.4742901290220891E-6</v>
          </cell>
          <cell r="J259">
            <v>1.0337399837807694E-2</v>
          </cell>
        </row>
        <row r="260">
          <cell r="B260" t="str">
            <v>ENGA-GTCC</v>
          </cell>
          <cell r="C260" t="str">
            <v>VAR_fout</v>
          </cell>
          <cell r="D260" t="str">
            <v>CO2_E</v>
          </cell>
          <cell r="E260"/>
          <cell r="F260"/>
          <cell r="G260"/>
          <cell r="H260"/>
          <cell r="I260">
            <v>1.1741533398207701E-3</v>
          </cell>
          <cell r="J260">
            <v>0.94057846319972205</v>
          </cell>
        </row>
        <row r="261">
          <cell r="B261" t="str">
            <v>ENGA-GTCC</v>
          </cell>
          <cell r="C261" t="str">
            <v>VAR_fin</v>
          </cell>
          <cell r="D261" t="str">
            <v>ENGA</v>
          </cell>
          <cell r="E261"/>
          <cell r="F261"/>
          <cell r="G261"/>
          <cell r="H261"/>
          <cell r="I261">
            <v>2.081832162802788E-5</v>
          </cell>
          <cell r="J261">
            <v>1.6676923106378045E-2</v>
          </cell>
        </row>
        <row r="262">
          <cell r="B262" t="str">
            <v>ENGA-GTCC</v>
          </cell>
          <cell r="C262" t="str">
            <v>VAR_fin</v>
          </cell>
          <cell r="D262" t="str">
            <v>GTC</v>
          </cell>
          <cell r="E262"/>
          <cell r="F262"/>
          <cell r="G262"/>
          <cell r="H262"/>
          <cell r="I262">
            <v>3.6267425089211199E-6</v>
          </cell>
          <cell r="J262">
            <v>7.9466650374429527E-4</v>
          </cell>
        </row>
        <row r="263">
          <cell r="B263" t="str">
            <v>ENGA-GTCC</v>
          </cell>
          <cell r="C263" t="str">
            <v>VAR_ncap</v>
          </cell>
          <cell r="D263" t="str">
            <v>-</v>
          </cell>
          <cell r="E263"/>
          <cell r="F263"/>
          <cell r="G263"/>
          <cell r="H263"/>
          <cell r="I263">
            <v>7.5323475286096904E-6</v>
          </cell>
          <cell r="J263">
            <v>1.06390092580907E-3</v>
          </cell>
        </row>
        <row r="264">
          <cell r="B264" t="str">
            <v>ENGA-GTCC</v>
          </cell>
          <cell r="C264" t="str">
            <v>VAR_cap</v>
          </cell>
          <cell r="D264" t="str">
            <v>-</v>
          </cell>
          <cell r="E264"/>
          <cell r="F264"/>
          <cell r="G264"/>
          <cell r="H264"/>
          <cell r="I264">
            <v>3.6267425089211199E-6</v>
          </cell>
          <cell r="J264">
            <v>7.9466650374429462E-4</v>
          </cell>
        </row>
        <row r="265">
          <cell r="B265" t="str">
            <v>D-SNGA</v>
          </cell>
          <cell r="C265" t="str">
            <v>VAR_fout</v>
          </cell>
          <cell r="D265" t="str">
            <v>CO2</v>
          </cell>
          <cell r="E265">
            <v>1522.0134858629399</v>
          </cell>
          <cell r="F265">
            <v>1518.9883110165599</v>
          </cell>
          <cell r="G265">
            <v>1356.07481444165</v>
          </cell>
          <cell r="H265">
            <v>960.52364632761601</v>
          </cell>
          <cell r="I265">
            <v>368.27300230639401</v>
          </cell>
          <cell r="J265">
            <v>189.519765461448</v>
          </cell>
        </row>
        <row r="266">
          <cell r="B266" t="str">
            <v>D-SNGA</v>
          </cell>
          <cell r="C266" t="str">
            <v>VAR_fout</v>
          </cell>
          <cell r="D266" t="str">
            <v>SNGA</v>
          </cell>
          <cell r="E266">
            <v>27.207339836414256</v>
          </cell>
          <cell r="F266">
            <v>28.488347279735041</v>
          </cell>
          <cell r="G266">
            <v>23.972051755387213</v>
          </cell>
          <cell r="H266">
            <v>16.976388252757616</v>
          </cell>
          <cell r="I266">
            <v>6.509048285118241</v>
          </cell>
          <cell r="J266">
            <v>3.3494954051327217</v>
          </cell>
        </row>
        <row r="267">
          <cell r="B267" t="str">
            <v>D-SNGA</v>
          </cell>
          <cell r="C267" t="str">
            <v>VAR_fout</v>
          </cell>
          <cell r="D267" t="str">
            <v>RSH2</v>
          </cell>
          <cell r="E267"/>
          <cell r="F267"/>
          <cell r="G267"/>
          <cell r="H267">
            <v>4.047214161521926E-4</v>
          </cell>
          <cell r="I267">
            <v>1.3283401258805425E-2</v>
          </cell>
          <cell r="J267">
            <v>8.1901745349234386E-3</v>
          </cell>
        </row>
        <row r="268">
          <cell r="B268" t="str">
            <v>D-SNGA</v>
          </cell>
          <cell r="C268" t="str">
            <v>VAR_fin</v>
          </cell>
          <cell r="D268" t="str">
            <v>NGA</v>
          </cell>
          <cell r="E268">
            <v>26.986054713881927</v>
          </cell>
          <cell r="F268">
            <v>26.932416861995737</v>
          </cell>
          <cell r="G268">
            <v>24.043879688681784</v>
          </cell>
          <cell r="H268">
            <v>17.030561105099576</v>
          </cell>
          <cell r="I268">
            <v>6.5296631614608875</v>
          </cell>
          <cell r="J268">
            <v>3.3602795294582912</v>
          </cell>
        </row>
        <row r="269">
          <cell r="B269" t="str">
            <v>D-SNGA</v>
          </cell>
          <cell r="C269" t="str">
            <v>VAR_fin</v>
          </cell>
          <cell r="D269" t="str">
            <v>BNGA</v>
          </cell>
          <cell r="E269">
            <v>0.30820222331281855</v>
          </cell>
          <cell r="F269">
            <v>1.6469398499906771</v>
          </cell>
          <cell r="G269">
            <v>4.7536528092367841E-3</v>
          </cell>
          <cell r="H269">
            <v>1.0100986919668831E-4</v>
          </cell>
          <cell r="I269">
            <v>3.3316993598574368E-4</v>
          </cell>
          <cell r="J269">
            <v>1.6107741029973107E-4</v>
          </cell>
        </row>
        <row r="270">
          <cell r="B270" t="str">
            <v>D-SNGA</v>
          </cell>
          <cell r="C270" t="str">
            <v>VAR_fin</v>
          </cell>
          <cell r="D270" t="str">
            <v>H2</v>
          </cell>
          <cell r="E270"/>
          <cell r="F270"/>
          <cell r="G270"/>
          <cell r="H270">
            <v>4.0483946409262234E-4</v>
          </cell>
          <cell r="I270">
            <v>1.328063140234864E-2</v>
          </cell>
          <cell r="J270">
            <v>8.1846764548339172E-3</v>
          </cell>
        </row>
        <row r="271">
          <cell r="B271" t="str">
            <v>D-SNGA</v>
          </cell>
          <cell r="C271" t="str">
            <v>VAR_ncap</v>
          </cell>
          <cell r="D271" t="str">
            <v>-</v>
          </cell>
          <cell r="E271">
            <v>3.2550052711988899E-7</v>
          </cell>
          <cell r="F271">
            <v>7.2351146476845295E-8</v>
          </cell>
          <cell r="G271">
            <v>1.08972348929727E-7</v>
          </cell>
          <cell r="H271">
            <v>1.28495166925655E-7</v>
          </cell>
          <cell r="I271">
            <v>2.5955475380499402E-7</v>
          </cell>
          <cell r="J271">
            <v>4.3804144002248698E-7</v>
          </cell>
        </row>
        <row r="272">
          <cell r="B272" t="str">
            <v>D-SNGA</v>
          </cell>
          <cell r="C272" t="str">
            <v>VAR_cap</v>
          </cell>
          <cell r="D272" t="str">
            <v>-</v>
          </cell>
          <cell r="E272">
            <v>2.2350525271256672</v>
          </cell>
          <cell r="F272">
            <v>2.2350525994768136</v>
          </cell>
          <cell r="G272">
            <v>2.2350527084491625</v>
          </cell>
          <cell r="H272">
            <v>2.2350528369443294</v>
          </cell>
          <cell r="I272">
            <v>2.2350532940141385</v>
          </cell>
          <cell r="J272">
            <v>1.1208920329192984</v>
          </cell>
        </row>
        <row r="273">
          <cell r="B273" t="str">
            <v>RHES-CHPWOD</v>
          </cell>
          <cell r="C273" t="str">
            <v>VAR_fout</v>
          </cell>
          <cell r="D273" t="str">
            <v>RHES_KEV_WOD_ELC_CHP</v>
          </cell>
          <cell r="E273"/>
          <cell r="F273"/>
          <cell r="G273"/>
          <cell r="H273">
            <v>2.3520520588610246E-4</v>
          </cell>
          <cell r="I273">
            <v>5.2946056801109881E-4</v>
          </cell>
          <cell r="J273">
            <v>2.2778272679911936E-4</v>
          </cell>
        </row>
        <row r="274">
          <cell r="B274" t="str">
            <v>RHES-CHPWOD</v>
          </cell>
          <cell r="C274" t="str">
            <v>VAR_fout</v>
          </cell>
          <cell r="D274" t="str">
            <v>RHES_LTH_CHPWOD</v>
          </cell>
          <cell r="E274"/>
          <cell r="F274"/>
          <cell r="G274"/>
          <cell r="H274">
            <v>6.3495240542162578E-4</v>
          </cell>
          <cell r="I274">
            <v>1.3702521210945556E-3</v>
          </cell>
          <cell r="J274">
            <v>5.6611214831137719E-4</v>
          </cell>
        </row>
        <row r="275">
          <cell r="B275" t="str">
            <v>RHES-CHPWOD</v>
          </cell>
          <cell r="C275" t="str">
            <v>VAR_fin</v>
          </cell>
          <cell r="D275" t="str">
            <v>RWOD</v>
          </cell>
          <cell r="E275"/>
          <cell r="F275"/>
          <cell r="G275"/>
          <cell r="H275">
            <v>1.1039831493406206E-3</v>
          </cell>
          <cell r="I275">
            <v>2.5694509502076921E-3</v>
          </cell>
          <cell r="J275">
            <v>9.7490348413979764E-4</v>
          </cell>
        </row>
        <row r="276">
          <cell r="B276" t="str">
            <v>RHES-CHPWOD</v>
          </cell>
          <cell r="C276" t="str">
            <v>VAR_ncap</v>
          </cell>
          <cell r="D276" t="str">
            <v>-</v>
          </cell>
          <cell r="E276"/>
          <cell r="F276"/>
          <cell r="G276"/>
          <cell r="H276">
            <v>2.0838196854833801E-5</v>
          </cell>
          <cell r="I276">
            <v>1.8753880664699099E-5</v>
          </cell>
          <cell r="J276">
            <v>6.9096896528225404E-7</v>
          </cell>
        </row>
        <row r="277">
          <cell r="B277" t="str">
            <v>RHES-CHPWOD</v>
          </cell>
          <cell r="C277" t="str">
            <v>VAR_cap</v>
          </cell>
          <cell r="D277" t="str">
            <v>-</v>
          </cell>
          <cell r="E277"/>
          <cell r="F277"/>
          <cell r="G277"/>
          <cell r="H277">
            <v>2.0838196854833801E-5</v>
          </cell>
          <cell r="I277">
            <v>4.6927873788719758E-5</v>
          </cell>
          <cell r="J277">
            <v>2.0188541494620225E-5</v>
          </cell>
        </row>
        <row r="278">
          <cell r="B278" t="str">
            <v>G-INTC-RES</v>
          </cell>
          <cell r="C278" t="str">
            <v>VAR_fout</v>
          </cell>
          <cell r="D278" t="str">
            <v>RHNS_ELC</v>
          </cell>
          <cell r="E278">
            <v>14.032094089098742</v>
          </cell>
          <cell r="F278">
            <v>14.898335187021406</v>
          </cell>
          <cell r="G278">
            <v>15.546941141104206</v>
          </cell>
          <cell r="H278">
            <v>16.342781210980192</v>
          </cell>
          <cell r="I278">
            <v>20.490421227055919</v>
          </cell>
          <cell r="J278">
            <v>19.788903332610253</v>
          </cell>
        </row>
        <row r="279">
          <cell r="B279" t="str">
            <v>G-INTC-RES</v>
          </cell>
          <cell r="C279" t="str">
            <v>VAR_fout</v>
          </cell>
          <cell r="D279" t="str">
            <v>ELC35</v>
          </cell>
          <cell r="E279">
            <v>47.123819409613354</v>
          </cell>
          <cell r="F279">
            <v>2.1888482333052785E-3</v>
          </cell>
          <cell r="G279">
            <v>4.5926812460903559E-3</v>
          </cell>
          <cell r="H279">
            <v>1.1913833013272323E-3</v>
          </cell>
          <cell r="I279">
            <v>1.585721075700779E-3</v>
          </cell>
          <cell r="J279">
            <v>1.1491879953770016E-2</v>
          </cell>
        </row>
        <row r="280">
          <cell r="B280" t="str">
            <v>G-INTC-RES</v>
          </cell>
          <cell r="C280" t="str">
            <v>VAR_fout</v>
          </cell>
          <cell r="D280" t="str">
            <v>RHES_ELC</v>
          </cell>
          <cell r="E280">
            <v>21.835527741467587</v>
          </cell>
          <cell r="F280">
            <v>19.140397612458301</v>
          </cell>
          <cell r="G280">
            <v>19.55643911422462</v>
          </cell>
          <cell r="H280">
            <v>21.016597441085072</v>
          </cell>
          <cell r="I280">
            <v>26.016033556061384</v>
          </cell>
          <cell r="J280">
            <v>24.848177632103983</v>
          </cell>
        </row>
        <row r="281">
          <cell r="B281" t="str">
            <v>G-INTC-RES</v>
          </cell>
          <cell r="C281" t="str">
            <v>VAR_fout</v>
          </cell>
          <cell r="D281" t="str">
            <v>RHNM_ELC</v>
          </cell>
          <cell r="E281">
            <v>10.065945322531038</v>
          </cell>
          <cell r="F281">
            <v>14.913710516952797</v>
          </cell>
          <cell r="G281">
            <v>15.134606874741559</v>
          </cell>
          <cell r="H281">
            <v>15.796066330241961</v>
          </cell>
          <cell r="I281">
            <v>19.908134597101451</v>
          </cell>
          <cell r="J281">
            <v>19.245520595772383</v>
          </cell>
        </row>
        <row r="282">
          <cell r="B282" t="str">
            <v>G-INTC-RES</v>
          </cell>
          <cell r="C282" t="str">
            <v>VAR_fout</v>
          </cell>
          <cell r="D282" t="str">
            <v>RHEM_ELC</v>
          </cell>
          <cell r="E282">
            <v>22.869900678457981</v>
          </cell>
          <cell r="F282">
            <v>18.961528132953141</v>
          </cell>
          <cell r="G282">
            <v>16.881340590237933</v>
          </cell>
          <cell r="H282">
            <v>19.028087470376615</v>
          </cell>
          <cell r="I282">
            <v>24.10059217697545</v>
          </cell>
          <cell r="J282">
            <v>22.932593056651839</v>
          </cell>
        </row>
        <row r="283">
          <cell r="B283" t="str">
            <v>G-INTC-RES</v>
          </cell>
          <cell r="C283" t="str">
            <v>VAR_fin</v>
          </cell>
          <cell r="D283" t="str">
            <v>ELC5</v>
          </cell>
          <cell r="E283">
            <v>115.92722311780612</v>
          </cell>
          <cell r="F283">
            <v>67.916160297618987</v>
          </cell>
          <cell r="G283">
            <v>67.1239204015544</v>
          </cell>
          <cell r="H283">
            <v>72.184723835985224</v>
          </cell>
          <cell r="I283">
            <v>90.516767278269953</v>
          </cell>
          <cell r="J283">
            <v>86.826686497092226</v>
          </cell>
        </row>
        <row r="284">
          <cell r="B284" t="str">
            <v>G-INTC-RES</v>
          </cell>
          <cell r="C284" t="str">
            <v>VAR_ncap</v>
          </cell>
          <cell r="D284" t="str">
            <v>-</v>
          </cell>
          <cell r="E284">
            <v>3.19158130214518E-8</v>
          </cell>
          <cell r="F284">
            <v>3.17265857825415E-8</v>
          </cell>
          <cell r="G284">
            <v>2.39283454002987E-8</v>
          </cell>
          <cell r="H284">
            <v>3.9510597795453501E-8</v>
          </cell>
          <cell r="I284">
            <v>5.2264874726769798E-8</v>
          </cell>
          <cell r="J284">
            <v>9.2237422742510501E-8</v>
          </cell>
        </row>
        <row r="285">
          <cell r="B285" t="str">
            <v>G-INTC-RES</v>
          </cell>
          <cell r="C285" t="str">
            <v>VAR_cap</v>
          </cell>
          <cell r="D285" t="str">
            <v>-</v>
          </cell>
          <cell r="E285">
            <v>4.3300925142827298</v>
          </cell>
          <cell r="F285">
            <v>4.3300925246597464</v>
          </cell>
          <cell r="G285">
            <v>4.3300925779251287</v>
          </cell>
          <cell r="H285">
            <v>4.330092623591784</v>
          </cell>
          <cell r="I285">
            <v>4.3300927075086211</v>
          </cell>
          <cell r="J285">
            <v>4.3300928028609054</v>
          </cell>
        </row>
        <row r="286">
          <cell r="B286" t="str">
            <v>SCOM-CHPNGA</v>
          </cell>
          <cell r="C286" t="str">
            <v>VAR_fout</v>
          </cell>
          <cell r="D286" t="str">
            <v>CO2_S</v>
          </cell>
          <cell r="E286">
            <v>93.547784384702794</v>
          </cell>
          <cell r="F286">
            <v>98.054882596077206</v>
          </cell>
          <cell r="G286">
            <v>26.140715898145299</v>
          </cell>
          <cell r="H286">
            <v>26.139791228811902</v>
          </cell>
          <cell r="I286">
            <v>19.047050963725098</v>
          </cell>
          <cell r="J286"/>
        </row>
        <row r="287">
          <cell r="B287" t="str">
            <v>SCOM-CHPNGA</v>
          </cell>
          <cell r="C287" t="str">
            <v>VAR_fout</v>
          </cell>
          <cell r="D287" t="str">
            <v>SCOM_NKEV_GAS_ELC_CHP</v>
          </cell>
          <cell r="E287">
            <v>0.59440862821173568</v>
          </cell>
          <cell r="F287">
            <v>0.62587476391855923</v>
          </cell>
          <cell r="G287">
            <v>0.16630627488457203</v>
          </cell>
          <cell r="H287">
            <v>0.16665611258900348</v>
          </cell>
          <cell r="I287">
            <v>0.12139218058749249</v>
          </cell>
          <cell r="J287"/>
        </row>
        <row r="288">
          <cell r="B288" t="str">
            <v>SCOM-CHPNGA</v>
          </cell>
          <cell r="C288" t="str">
            <v>VAR_fout</v>
          </cell>
          <cell r="D288" t="str">
            <v>SCOM_LTH_CHPNGA</v>
          </cell>
          <cell r="E288">
            <v>0.69258878853188333</v>
          </cell>
          <cell r="F288">
            <v>0.75020826225735937</v>
          </cell>
          <cell r="G288">
            <v>0.2076965188510336</v>
          </cell>
          <cell r="H288">
            <v>0.22208427754866869</v>
          </cell>
          <cell r="I288">
            <v>0.18208827088123872</v>
          </cell>
          <cell r="J288"/>
        </row>
        <row r="289">
          <cell r="B289" t="str">
            <v>SCOM-CHPNGA</v>
          </cell>
          <cell r="C289" t="str">
            <v>VAR_fin</v>
          </cell>
          <cell r="D289" t="str">
            <v>SNGA</v>
          </cell>
          <cell r="E289">
            <v>1.6586486593032406</v>
          </cell>
          <cell r="F289">
            <v>1.7385617481573947</v>
          </cell>
          <cell r="G289">
            <v>0.46348787053449098</v>
          </cell>
          <cell r="H289">
            <v>0.46347147568815356</v>
          </cell>
          <cell r="I289">
            <v>0.33771366956959475</v>
          </cell>
          <cell r="J289"/>
        </row>
        <row r="290">
          <cell r="B290" t="str">
            <v>SCOM-CHPNGA</v>
          </cell>
          <cell r="C290" t="str">
            <v>VAR_ncap</v>
          </cell>
          <cell r="D290" t="str">
            <v>-</v>
          </cell>
          <cell r="E290"/>
          <cell r="F290">
            <v>2.7175090320151699E-2</v>
          </cell>
          <cell r="G290"/>
          <cell r="H290"/>
          <cell r="I290"/>
          <cell r="J290"/>
        </row>
        <row r="291">
          <cell r="B291" t="str">
            <v>SCOM-CHPNGA</v>
          </cell>
          <cell r="C291" t="str">
            <v>VAR_cap</v>
          </cell>
          <cell r="D291" t="str">
            <v>-</v>
          </cell>
          <cell r="E291">
            <v>6.5199762810476181E-2</v>
          </cell>
          <cell r="F291">
            <v>4.7880448567434522E-2</v>
          </cell>
          <cell r="G291">
            <v>2.7178143863117801E-2</v>
          </cell>
          <cell r="H291">
            <v>2.7176551125820601E-2</v>
          </cell>
          <cell r="I291">
            <v>1.4090472921714886E-2</v>
          </cell>
          <cell r="J291"/>
        </row>
        <row r="292">
          <cell r="B292" t="str">
            <v>D-IPLT</v>
          </cell>
          <cell r="C292" t="str">
            <v>VAR_fout</v>
          </cell>
          <cell r="D292" t="str">
            <v>IPLT</v>
          </cell>
          <cell r="E292">
            <v>0.62579905191362417</v>
          </cell>
          <cell r="F292">
            <v>0.73757781964595781</v>
          </cell>
          <cell r="G292">
            <v>3.9359396236044453</v>
          </cell>
          <cell r="H292">
            <v>4.0963459228316097</v>
          </cell>
          <cell r="I292">
            <v>4.0734643218167044</v>
          </cell>
          <cell r="J292">
            <v>4.0508336940947158</v>
          </cell>
        </row>
        <row r="293">
          <cell r="B293" t="str">
            <v>D-IPLT</v>
          </cell>
          <cell r="C293" t="str">
            <v>VAR_fin</v>
          </cell>
          <cell r="D293" t="str">
            <v>PLT</v>
          </cell>
          <cell r="E293">
            <v>0.62579905191362417</v>
          </cell>
          <cell r="F293">
            <v>0.73757781964595781</v>
          </cell>
          <cell r="G293">
            <v>3.9359396236044453</v>
          </cell>
          <cell r="H293">
            <v>4.0963459228316097</v>
          </cell>
          <cell r="I293">
            <v>4.0734643218167044</v>
          </cell>
          <cell r="J293">
            <v>4.0508336940947158</v>
          </cell>
        </row>
        <row r="294">
          <cell r="B294" t="str">
            <v>LTH-STG</v>
          </cell>
          <cell r="C294" t="str">
            <v>VAR_fout</v>
          </cell>
          <cell r="D294" t="str">
            <v>AUX_LTH-STG_OUT</v>
          </cell>
          <cell r="E294">
            <v>1.164847525323177E-4</v>
          </cell>
          <cell r="F294">
            <v>3.9373018466826968E-4</v>
          </cell>
          <cell r="G294">
            <v>2.2170752286028339E-3</v>
          </cell>
          <cell r="H294">
            <v>3.2144369240403805E-4</v>
          </cell>
          <cell r="I294">
            <v>1.3185618277033063E-3</v>
          </cell>
          <cell r="J294">
            <v>8.0474189349376946E-2</v>
          </cell>
        </row>
        <row r="295">
          <cell r="B295" t="str">
            <v>LTH-STG</v>
          </cell>
          <cell r="C295" t="str">
            <v>VAR_fout</v>
          </cell>
          <cell r="D295" t="str">
            <v>LTH</v>
          </cell>
          <cell r="E295">
            <v>1.1648475253231735E-4</v>
          </cell>
          <cell r="F295">
            <v>3.9399267145804782E-4</v>
          </cell>
          <cell r="G295">
            <v>2.2193846819659581E-3</v>
          </cell>
          <cell r="H295">
            <v>3.2144369240403805E-4</v>
          </cell>
          <cell r="I295">
            <v>1.3185618277033017E-3</v>
          </cell>
          <cell r="J295">
            <v>8.0474189349376876E-2</v>
          </cell>
        </row>
        <row r="296">
          <cell r="B296" t="str">
            <v>LTH-STG</v>
          </cell>
          <cell r="C296" t="str">
            <v>VAR_fin</v>
          </cell>
          <cell r="D296" t="str">
            <v>AUX_LTH-STG_IN</v>
          </cell>
          <cell r="E296">
            <v>1.5229928323046239E-4</v>
          </cell>
          <cell r="F296">
            <v>5.1751100910627423E-4</v>
          </cell>
          <cell r="G296">
            <v>2.8659990801633388E-3</v>
          </cell>
          <cell r="H296">
            <v>4.0309852024394884E-4</v>
          </cell>
          <cell r="I296">
            <v>1.5537064155442507E-3</v>
          </cell>
          <cell r="J296">
            <v>8.9416952103708175E-2</v>
          </cell>
        </row>
        <row r="297">
          <cell r="B297" t="str">
            <v>LTH-STG</v>
          </cell>
          <cell r="C297" t="str">
            <v>VAR_fin</v>
          </cell>
          <cell r="D297" t="str">
            <v>LTH</v>
          </cell>
          <cell r="E297">
            <v>1.5229928323046239E-4</v>
          </cell>
          <cell r="F297">
            <v>5.1751100910627423E-4</v>
          </cell>
          <cell r="G297">
            <v>2.8659990801633388E-3</v>
          </cell>
          <cell r="H297">
            <v>4.0309852024394884E-4</v>
          </cell>
          <cell r="I297">
            <v>1.5537064155442507E-3</v>
          </cell>
          <cell r="J297">
            <v>8.9416952103708175E-2</v>
          </cell>
        </row>
        <row r="298">
          <cell r="B298" t="str">
            <v>LTH-STG</v>
          </cell>
          <cell r="C298" t="str">
            <v>VAR_ncap</v>
          </cell>
          <cell r="D298" t="str">
            <v>-</v>
          </cell>
          <cell r="E298">
            <v>3.4714566904929602E-5</v>
          </cell>
          <cell r="F298">
            <v>1.4926600782136E-6</v>
          </cell>
          <cell r="G298">
            <v>1.2012716906300799E-6</v>
          </cell>
          <cell r="H298">
            <v>1.3765846079558001E-6</v>
          </cell>
          <cell r="I298">
            <v>2.3432181571121801E-5</v>
          </cell>
          <cell r="J298">
            <v>4.56732248511523E-2</v>
          </cell>
        </row>
        <row r="299">
          <cell r="B299" t="str">
            <v>LTH-STG</v>
          </cell>
          <cell r="C299" t="str">
            <v>VAR_cap</v>
          </cell>
          <cell r="D299" t="str">
            <v>-</v>
          </cell>
          <cell r="E299">
            <v>1.9965190507406722E-4</v>
          </cell>
          <cell r="F299">
            <v>1.9949993010312894E-4</v>
          </cell>
          <cell r="G299">
            <v>1.988683686901376E-4</v>
          </cell>
          <cell r="H299">
            <v>1.0874229503474731E-4</v>
          </cell>
          <cell r="I299">
            <v>1.0700983673312786E-4</v>
          </cell>
          <cell r="J299">
            <v>4.5753616166777894E-2</v>
          </cell>
        </row>
        <row r="300">
          <cell r="B300" t="str">
            <v>ITOT-CHPOIL</v>
          </cell>
          <cell r="C300" t="str">
            <v>VAR_fout</v>
          </cell>
          <cell r="D300" t="str">
            <v>ITOT_LTH_CHP</v>
          </cell>
          <cell r="E300">
            <v>0.929421378664679</v>
          </cell>
          <cell r="F300">
            <v>2.0726397765141442</v>
          </cell>
          <cell r="G300">
            <v>0.1111192619538891</v>
          </cell>
          <cell r="H300">
            <v>1.3178988184424179</v>
          </cell>
          <cell r="I300"/>
          <cell r="J300"/>
        </row>
        <row r="301">
          <cell r="B301" t="str">
            <v>ITOT-CHPOIL</v>
          </cell>
          <cell r="C301" t="str">
            <v>VAR_fout</v>
          </cell>
          <cell r="D301" t="str">
            <v>ITOT_NKEV_OIL_ELC_CHP</v>
          </cell>
          <cell r="E301">
            <v>7.0507828726285915E-2</v>
          </cell>
          <cell r="F301">
            <v>0.17150077720659426</v>
          </cell>
          <cell r="G301">
            <v>1.0643053266378056E-2</v>
          </cell>
          <cell r="H301">
            <v>0.17117193931391847</v>
          </cell>
          <cell r="I301"/>
          <cell r="J301"/>
        </row>
        <row r="302">
          <cell r="B302" t="str">
            <v>ITOT-CHPOIL</v>
          </cell>
          <cell r="C302" t="str">
            <v>VAR_fout</v>
          </cell>
          <cell r="D302" t="str">
            <v>CO2_I</v>
          </cell>
          <cell r="E302">
            <v>21.640084659924401</v>
          </cell>
          <cell r="F302">
            <v>51.249339860006401</v>
          </cell>
          <cell r="G302">
            <v>3.16884172532286</v>
          </cell>
          <cell r="H302">
            <v>47.897059229466798</v>
          </cell>
          <cell r="I302"/>
          <cell r="J302"/>
        </row>
        <row r="303">
          <cell r="B303" t="str">
            <v>ITOT-CHPOIL</v>
          </cell>
          <cell r="C303" t="str">
            <v>VAR_fin</v>
          </cell>
          <cell r="D303" t="str">
            <v>ILFO</v>
          </cell>
          <cell r="E303">
            <v>0.2936239438252965</v>
          </cell>
          <cell r="F303">
            <v>0.69537774572600275</v>
          </cell>
          <cell r="G303">
            <v>4.2996495594611397E-2</v>
          </cell>
          <cell r="H303">
            <v>0.64989225548801688</v>
          </cell>
          <cell r="I303"/>
          <cell r="J303"/>
        </row>
        <row r="304">
          <cell r="B304" t="str">
            <v>ITOT-CHPOIL</v>
          </cell>
          <cell r="C304" t="str">
            <v>VAR_ncap</v>
          </cell>
          <cell r="D304" t="str">
            <v>-</v>
          </cell>
          <cell r="E304"/>
          <cell r="F304">
            <v>2.2233271070843299E-2</v>
          </cell>
          <cell r="G304"/>
          <cell r="H304"/>
          <cell r="I304"/>
          <cell r="J304"/>
        </row>
        <row r="305">
          <cell r="B305" t="str">
            <v>ITOT-CHPOIL</v>
          </cell>
          <cell r="C305" t="str">
            <v>VAR_cap</v>
          </cell>
          <cell r="D305" t="str">
            <v>-</v>
          </cell>
          <cell r="E305">
            <v>8.3051532820950808E-3</v>
          </cell>
          <cell r="F305">
            <v>2.3165133081638849E-2</v>
          </cell>
          <cell r="G305">
            <v>2.3164698664694283E-2</v>
          </cell>
          <cell r="H305">
            <v>2.3164589103184949E-2</v>
          </cell>
          <cell r="I305"/>
          <cell r="J305"/>
        </row>
        <row r="306">
          <cell r="B306" t="str">
            <v>ENUC_GOE</v>
          </cell>
          <cell r="C306" t="str">
            <v>VAR_fout</v>
          </cell>
          <cell r="D306" t="str">
            <v>ELC</v>
          </cell>
          <cell r="E306">
            <v>29.714401496152124</v>
          </cell>
          <cell r="F306">
            <v>29.714396428908618</v>
          </cell>
          <cell r="G306">
            <v>26.116913396280101</v>
          </cell>
          <cell r="H306">
            <v>29.714401142352116</v>
          </cell>
          <cell r="I306"/>
          <cell r="J306"/>
        </row>
        <row r="307">
          <cell r="B307" t="str">
            <v>ENUC_GOE</v>
          </cell>
          <cell r="C307" t="str">
            <v>VAR_fin</v>
          </cell>
          <cell r="D307" t="str">
            <v>URN</v>
          </cell>
          <cell r="E307">
            <v>89.580579864197844</v>
          </cell>
          <cell r="F307">
            <v>89.580564587881142</v>
          </cell>
          <cell r="G307">
            <v>78.735163035499028</v>
          </cell>
          <cell r="H307">
            <v>89.580578797590235</v>
          </cell>
          <cell r="I307"/>
          <cell r="J307"/>
        </row>
        <row r="308">
          <cell r="B308" t="str">
            <v>ENUC_GOE</v>
          </cell>
          <cell r="C308" t="str">
            <v>VAR_cap</v>
          </cell>
          <cell r="D308" t="str">
            <v>-</v>
          </cell>
          <cell r="E308">
            <v>1.0099999720383006</v>
          </cell>
          <cell r="F308">
            <v>1.0099999638537018</v>
          </cell>
          <cell r="G308">
            <v>1.0100000951898651</v>
          </cell>
          <cell r="H308">
            <v>1.0100000949273491</v>
          </cell>
          <cell r="I308"/>
          <cell r="J308"/>
        </row>
        <row r="309">
          <cell r="B309" t="str">
            <v>D-RNGA</v>
          </cell>
          <cell r="C309" t="str">
            <v>VAR_fout</v>
          </cell>
          <cell r="D309" t="str">
            <v>CO2</v>
          </cell>
          <cell r="E309">
            <v>2650.9144664662499</v>
          </cell>
          <cell r="F309">
            <v>2620.17456427978</v>
          </cell>
          <cell r="G309">
            <v>2645.4847315923598</v>
          </cell>
          <cell r="H309">
            <v>1945.5026783291901</v>
          </cell>
          <cell r="I309">
            <v>787.99989838033503</v>
          </cell>
          <cell r="J309">
            <v>450.76284176935701</v>
          </cell>
        </row>
        <row r="310">
          <cell r="B310" t="str">
            <v>D-RNGA</v>
          </cell>
          <cell r="C310" t="str">
            <v>VAR_fout</v>
          </cell>
          <cell r="D310" t="str">
            <v>RNGA</v>
          </cell>
          <cell r="E310">
            <v>47.164311800487766</v>
          </cell>
          <cell r="F310">
            <v>48.283023494768528</v>
          </cell>
          <cell r="G310">
            <v>46.76123005487117</v>
          </cell>
          <cell r="H310">
            <v>34.384933056886787</v>
          </cell>
          <cell r="I310">
            <v>13.92724384130034</v>
          </cell>
          <cell r="J310">
            <v>7.9666673042837592</v>
          </cell>
        </row>
        <row r="311">
          <cell r="B311" t="str">
            <v>D-RNGA</v>
          </cell>
          <cell r="C311" t="str">
            <v>VAR_fout</v>
          </cell>
          <cell r="D311" t="str">
            <v>RSH2</v>
          </cell>
          <cell r="E311"/>
          <cell r="F311"/>
          <cell r="G311"/>
          <cell r="H311">
            <v>4.2648510760111535E-4</v>
          </cell>
          <cell r="I311">
            <v>3.5813788559750273E-2</v>
          </cell>
          <cell r="J311">
            <v>2.1918715131223961E-2</v>
          </cell>
        </row>
        <row r="312">
          <cell r="B312" t="str">
            <v>D-RNGA</v>
          </cell>
          <cell r="C312" t="str">
            <v>VAR_fin</v>
          </cell>
          <cell r="D312" t="str">
            <v>NGA</v>
          </cell>
          <cell r="E312">
            <v>47.002029547273821</v>
          </cell>
          <cell r="F312">
            <v>46.456995820563542</v>
          </cell>
          <cell r="G312">
            <v>46.905757652346885</v>
          </cell>
          <cell r="H312">
            <v>34.494728339170095</v>
          </cell>
          <cell r="I312">
            <v>13.971629403906633</v>
          </cell>
          <cell r="J312">
            <v>7.9922489675417943</v>
          </cell>
        </row>
        <row r="313">
          <cell r="B313" t="str">
            <v>D-RNGA</v>
          </cell>
          <cell r="C313" t="str">
            <v>VAR_fin</v>
          </cell>
          <cell r="D313" t="str">
            <v>BNGA</v>
          </cell>
          <cell r="E313">
            <v>0.31295428754925114</v>
          </cell>
          <cell r="F313">
            <v>1.9802735668322482</v>
          </cell>
          <cell r="G313">
            <v>4.8567440194183104E-3</v>
          </cell>
          <cell r="H313">
            <v>1.0164299843378461E-4</v>
          </cell>
          <cell r="I313">
            <v>3.3642983216399669E-4</v>
          </cell>
          <cell r="J313">
            <v>1.6384949600686198E-4</v>
          </cell>
        </row>
        <row r="314">
          <cell r="B314" t="str">
            <v>D-RNGA</v>
          </cell>
          <cell r="C314" t="str">
            <v>VAR_fin</v>
          </cell>
          <cell r="D314" t="str">
            <v>H2</v>
          </cell>
          <cell r="E314"/>
          <cell r="F314"/>
          <cell r="G314"/>
          <cell r="H314">
            <v>4.2650237763397465E-4</v>
          </cell>
          <cell r="I314">
            <v>3.5810339772159583E-2</v>
          </cell>
          <cell r="J314">
            <v>2.1916027340787712E-2</v>
          </cell>
        </row>
        <row r="315">
          <cell r="B315" t="str">
            <v>D-RNGA</v>
          </cell>
          <cell r="C315" t="str">
            <v>VAR_ncap</v>
          </cell>
          <cell r="D315" t="str">
            <v>-</v>
          </cell>
          <cell r="E315">
            <v>1.19330327068622E-7</v>
          </cell>
          <cell r="F315">
            <v>4.0079948598179699E-8</v>
          </cell>
          <cell r="G315">
            <v>5.7123100386542903E-8</v>
          </cell>
          <cell r="H315">
            <v>4.5626971232421099E-8</v>
          </cell>
          <cell r="I315">
            <v>9.1704624211913494E-8</v>
          </cell>
          <cell r="J315">
            <v>1.5268785914472999E-7</v>
          </cell>
        </row>
        <row r="316">
          <cell r="B316" t="str">
            <v>D-RNGA</v>
          </cell>
          <cell r="C316" t="str">
            <v>VAR_cap</v>
          </cell>
          <cell r="D316" t="str">
            <v>-</v>
          </cell>
          <cell r="E316">
            <v>3.097240126726247</v>
          </cell>
          <cell r="F316">
            <v>3.0972401668061957</v>
          </cell>
          <cell r="G316">
            <v>3.0972402239292962</v>
          </cell>
          <cell r="H316">
            <v>3.0972402695562673</v>
          </cell>
          <cell r="I316">
            <v>3.0972404289666686</v>
          </cell>
          <cell r="J316">
            <v>1.5532828222948276</v>
          </cell>
        </row>
        <row r="317">
          <cell r="B317" t="str">
            <v>ITOT-CHPHFC</v>
          </cell>
          <cell r="C317" t="str">
            <v>VAR_fout</v>
          </cell>
          <cell r="D317" t="str">
            <v>ITOT_LTH_CHP</v>
          </cell>
          <cell r="E317"/>
          <cell r="F317"/>
          <cell r="G317"/>
          <cell r="H317">
            <v>2.2241668993780309E-3</v>
          </cell>
          <cell r="I317">
            <v>0.24824907251639999</v>
          </cell>
          <cell r="J317">
            <v>0.19556716051929929</v>
          </cell>
        </row>
        <row r="318">
          <cell r="B318" t="str">
            <v>ITOT-CHPHFC</v>
          </cell>
          <cell r="C318" t="str">
            <v>VAR_fout</v>
          </cell>
          <cell r="D318" t="str">
            <v>ITOT_KEV_HFC_ELC_CHP</v>
          </cell>
          <cell r="E318"/>
          <cell r="F318"/>
          <cell r="G318"/>
          <cell r="H318">
            <v>2.9755746356543902E-3</v>
          </cell>
          <cell r="I318">
            <v>0.4137484541940003</v>
          </cell>
          <cell r="J318">
            <v>0.39113432103859846</v>
          </cell>
        </row>
        <row r="319">
          <cell r="B319" t="str">
            <v>ITOT-CHPHFC</v>
          </cell>
          <cell r="C319" t="str">
            <v>VAR_fin</v>
          </cell>
          <cell r="D319" t="str">
            <v>IH2</v>
          </cell>
          <cell r="E319"/>
          <cell r="F319"/>
          <cell r="G319"/>
          <cell r="H319">
            <v>6.0112618902108976E-3</v>
          </cell>
          <cell r="I319">
            <v>0.75226991671636312</v>
          </cell>
          <cell r="J319">
            <v>0.65189053506433037</v>
          </cell>
        </row>
        <row r="320">
          <cell r="B320" t="str">
            <v>ITOT-CHPHFC</v>
          </cell>
          <cell r="C320" t="str">
            <v>VAR_ncap</v>
          </cell>
          <cell r="D320" t="str">
            <v>-</v>
          </cell>
          <cell r="E320"/>
          <cell r="F320"/>
          <cell r="G320"/>
          <cell r="H320">
            <v>1.35566597677287E-4</v>
          </cell>
          <cell r="I320">
            <v>4.16748105714939E-2</v>
          </cell>
          <cell r="J320">
            <v>1.7174789199305401E-2</v>
          </cell>
        </row>
        <row r="321">
          <cell r="B321" t="str">
            <v>ITOT-CHPHFC</v>
          </cell>
          <cell r="C321" t="str">
            <v>VAR_cap</v>
          </cell>
          <cell r="D321" t="str">
            <v>-</v>
          </cell>
          <cell r="E321"/>
          <cell r="F321"/>
          <cell r="G321"/>
          <cell r="H321">
            <v>1.35566597677287E-4</v>
          </cell>
          <cell r="I321">
            <v>4.1934901469671333E-2</v>
          </cell>
          <cell r="J321">
            <v>4.7490413530512789E-2</v>
          </cell>
        </row>
        <row r="322">
          <cell r="B322" t="str">
            <v>G-INTC-TRA</v>
          </cell>
          <cell r="C322" t="str">
            <v>VAR_fout</v>
          </cell>
          <cell r="D322" t="str">
            <v>TRAN_ELC</v>
          </cell>
          <cell r="E322">
            <v>7.65186334934985</v>
          </cell>
          <cell r="F322">
            <v>12.181508173540996</v>
          </cell>
          <cell r="G322">
            <v>14.955699321432686</v>
          </cell>
          <cell r="H322">
            <v>25.699184702186841</v>
          </cell>
          <cell r="I322">
            <v>26.423080282392</v>
          </cell>
          <cell r="J322">
            <v>24.947598152494141</v>
          </cell>
        </row>
        <row r="323">
          <cell r="B323" t="str">
            <v>G-INTC-TRA</v>
          </cell>
          <cell r="C323" t="str">
            <v>VAR_fin</v>
          </cell>
          <cell r="D323" t="str">
            <v>ELC3</v>
          </cell>
          <cell r="E323">
            <v>7.0632584763229325</v>
          </cell>
          <cell r="F323">
            <v>12.179536866582348</v>
          </cell>
          <cell r="G323">
            <v>14.951489596339195</v>
          </cell>
          <cell r="H323">
            <v>18.065763503517498</v>
          </cell>
          <cell r="I323">
            <v>13.794402206248783</v>
          </cell>
          <cell r="J323">
            <v>11.447473835796355</v>
          </cell>
        </row>
        <row r="324">
          <cell r="B324" t="str">
            <v>G-INTC-TRA</v>
          </cell>
          <cell r="C324" t="str">
            <v>VAR_fin</v>
          </cell>
          <cell r="D324" t="str">
            <v>ELC5</v>
          </cell>
          <cell r="E324">
            <v>0.58860487302691133</v>
          </cell>
          <cell r="F324">
            <v>1.9713069586405267E-3</v>
          </cell>
          <cell r="G324">
            <v>4.2097250934863464E-3</v>
          </cell>
          <cell r="H324">
            <v>7.6334211986693701</v>
          </cell>
          <cell r="I324">
            <v>12.628678076143236</v>
          </cell>
          <cell r="J324">
            <v>13.500124316697782</v>
          </cell>
        </row>
        <row r="325">
          <cell r="B325" t="str">
            <v>G-INTC-TRA</v>
          </cell>
          <cell r="C325" t="str">
            <v>VAR_ncap</v>
          </cell>
          <cell r="D325" t="str">
            <v>-</v>
          </cell>
          <cell r="E325">
            <v>1.3283475913500999E-7</v>
          </cell>
          <cell r="F325">
            <v>1.1895557666815E-7</v>
          </cell>
          <cell r="G325">
            <v>1.5522946930578501E-7</v>
          </cell>
          <cell r="H325">
            <v>2.8002476338581399E-7</v>
          </cell>
          <cell r="I325">
            <v>1.5966935701671601E-7</v>
          </cell>
          <cell r="J325">
            <v>2.2776489333555899E-7</v>
          </cell>
        </row>
        <row r="326">
          <cell r="B326" t="str">
            <v>G-INTC-TRA</v>
          </cell>
          <cell r="C326" t="str">
            <v>VAR_cap</v>
          </cell>
          <cell r="D326" t="str">
            <v>-</v>
          </cell>
          <cell r="E326">
            <v>0.86351880627381705</v>
          </cell>
          <cell r="F326">
            <v>0.86351884946333402</v>
          </cell>
          <cell r="G326">
            <v>0.86351905806415286</v>
          </cell>
          <cell r="H326">
            <v>0.86351936736026225</v>
          </cell>
          <cell r="I326">
            <v>0.86351972727713999</v>
          </cell>
          <cell r="J326">
            <v>0.86351997860527729</v>
          </cell>
        </row>
        <row r="327">
          <cell r="B327" t="str">
            <v>SCOM-SWHSTG-CHPBIO</v>
          </cell>
          <cell r="C327" t="str">
            <v>VAR_fout</v>
          </cell>
          <cell r="D327" t="str">
            <v>AUX_SCOM-CHPBIO_OUT</v>
          </cell>
          <cell r="E327">
            <v>2.1705828692178856E-5</v>
          </cell>
          <cell r="F327">
            <v>3.5248799556422561E-5</v>
          </cell>
          <cell r="G327">
            <v>7.7754726259620268</v>
          </cell>
          <cell r="H327">
            <v>8.8601320894004161</v>
          </cell>
          <cell r="I327">
            <v>13.364406031079008</v>
          </cell>
          <cell r="J327">
            <v>99.584960786520739</v>
          </cell>
        </row>
        <row r="328">
          <cell r="B328" t="str">
            <v>SCOM-SWHSTG-CHPBIO</v>
          </cell>
          <cell r="C328" t="str">
            <v>VAR_fout</v>
          </cell>
          <cell r="D328" t="str">
            <v>SCOM_LTH_CHPBIO</v>
          </cell>
          <cell r="E328">
            <v>2.1705828692178893E-5</v>
          </cell>
          <cell r="F328">
            <v>3.5277610835753507E-5</v>
          </cell>
          <cell r="G328">
            <v>7.7854029869147281</v>
          </cell>
          <cell r="H328">
            <v>8.8601320894004054</v>
          </cell>
          <cell r="I328">
            <v>13.364406031078991</v>
          </cell>
          <cell r="J328">
            <v>99.584960786520739</v>
          </cell>
        </row>
        <row r="329">
          <cell r="B329" t="str">
            <v>SCOM-SWHSTG-CHPBIO</v>
          </cell>
          <cell r="C329" t="str">
            <v>VAR_fin</v>
          </cell>
          <cell r="D329" t="str">
            <v>SCOM_LTH_CHPBIO</v>
          </cell>
          <cell r="E329">
            <v>3.5838479780663771E-5</v>
          </cell>
          <cell r="F329">
            <v>4.7437382000328064E-5</v>
          </cell>
          <cell r="G329">
            <v>9.2683213990964362</v>
          </cell>
          <cell r="H329">
            <v>10.184047818355424</v>
          </cell>
          <cell r="I329">
            <v>14.370318522857273</v>
          </cell>
          <cell r="J329">
            <v>100.5908707868152</v>
          </cell>
        </row>
        <row r="330">
          <cell r="B330" t="str">
            <v>SCOM-SWHSTG-CHPBIO</v>
          </cell>
          <cell r="C330" t="str">
            <v>VAR_fin</v>
          </cell>
          <cell r="D330" t="str">
            <v>AUX_SCOM-CHPBIO_IN</v>
          </cell>
          <cell r="E330">
            <v>3.5838479780663771E-5</v>
          </cell>
          <cell r="F330">
            <v>4.7437382000328064E-5</v>
          </cell>
          <cell r="G330">
            <v>9.2683213990964362</v>
          </cell>
          <cell r="H330">
            <v>10.184047818355424</v>
          </cell>
          <cell r="I330">
            <v>14.370318522857273</v>
          </cell>
          <cell r="J330">
            <v>100.5908707868152</v>
          </cell>
        </row>
        <row r="331">
          <cell r="B331" t="str">
            <v>SCOM-SWHSTG-CHPBIO</v>
          </cell>
          <cell r="C331" t="str">
            <v>VAR_ncap</v>
          </cell>
          <cell r="D331" t="str">
            <v>-</v>
          </cell>
          <cell r="E331">
            <v>1.73342115422932E-3</v>
          </cell>
          <cell r="F331">
            <v>2.12644453959744E-5</v>
          </cell>
          <cell r="G331">
            <v>0.48737449709934</v>
          </cell>
          <cell r="H331">
            <v>6.6335918544547304E-2</v>
          </cell>
          <cell r="I331">
            <v>0.60100449090359698</v>
          </cell>
          <cell r="J331">
            <v>5.7090443265745403</v>
          </cell>
        </row>
        <row r="332">
          <cell r="B332" t="str">
            <v>SCOM-SWHSTG-CHPBIO</v>
          </cell>
          <cell r="C332" t="str">
            <v>VAR_cap</v>
          </cell>
          <cell r="D332" t="str">
            <v>-</v>
          </cell>
          <cell r="E332">
            <v>1.73342115422932E-3</v>
          </cell>
          <cell r="F332">
            <v>1.7525656925785982E-3</v>
          </cell>
          <cell r="G332">
            <v>0.48912102943399904</v>
          </cell>
          <cell r="H332">
            <v>0.55544766259120515</v>
          </cell>
          <cell r="I332">
            <v>0.83388709260559224</v>
          </cell>
          <cell r="J332">
            <v>6.188042963053543</v>
          </cell>
        </row>
        <row r="333">
          <cell r="B333" t="str">
            <v>SCOM-SWHSTG-CHPHFC</v>
          </cell>
          <cell r="C333" t="str">
            <v>VAR_fout</v>
          </cell>
          <cell r="D333" t="str">
            <v>AUX_SCOM-CHPHFC_OUT</v>
          </cell>
          <cell r="E333">
            <v>1.1717343886005948E-4</v>
          </cell>
          <cell r="F333">
            <v>1.7821834232173347E-4</v>
          </cell>
          <cell r="G333">
            <v>1.8203730680006817E-4</v>
          </cell>
          <cell r="H333">
            <v>2.6293075128608397E-3</v>
          </cell>
          <cell r="I333">
            <v>0.22312635868024175</v>
          </cell>
          <cell r="J333">
            <v>0.9733921752534237</v>
          </cell>
        </row>
        <row r="334">
          <cell r="B334" t="str">
            <v>SCOM-SWHSTG-CHPHFC</v>
          </cell>
          <cell r="C334" t="str">
            <v>VAR_fout</v>
          </cell>
          <cell r="D334" t="str">
            <v>SCOM_LTH_CHPHFC</v>
          </cell>
          <cell r="E334">
            <v>1.1717343886005969E-4</v>
          </cell>
          <cell r="F334">
            <v>1.7836401248659439E-4</v>
          </cell>
          <cell r="G334">
            <v>1.8226979378193299E-4</v>
          </cell>
          <cell r="H334">
            <v>2.629307512860835E-3</v>
          </cell>
          <cell r="I334">
            <v>0.22312635868024144</v>
          </cell>
          <cell r="J334">
            <v>0.97339217525342348</v>
          </cell>
        </row>
        <row r="335">
          <cell r="B335" t="str">
            <v>SCOM-SWHSTG-CHPHFC</v>
          </cell>
          <cell r="C335" t="str">
            <v>VAR_fin</v>
          </cell>
          <cell r="D335" t="str">
            <v>SCOM_LTH_CHPHFC</v>
          </cell>
          <cell r="E335">
            <v>1.1717343886005969E-4</v>
          </cell>
          <cell r="F335">
            <v>1.7836401248659439E-4</v>
          </cell>
          <cell r="G335">
            <v>1.8226979378193299E-4</v>
          </cell>
          <cell r="H335">
            <v>3.0093642075661596E-3</v>
          </cell>
          <cell r="I335">
            <v>0.23991373247950076</v>
          </cell>
          <cell r="J335">
            <v>0.9832246120639313</v>
          </cell>
        </row>
        <row r="336">
          <cell r="B336" t="str">
            <v>SCOM-SWHSTG-CHPHFC</v>
          </cell>
          <cell r="C336" t="str">
            <v>VAR_fin</v>
          </cell>
          <cell r="D336" t="str">
            <v>AUX_SCOM-CHPHFC_IN</v>
          </cell>
          <cell r="E336">
            <v>1.1717343886005969E-4</v>
          </cell>
          <cell r="F336">
            <v>1.7836401248659439E-4</v>
          </cell>
          <cell r="G336">
            <v>1.8226979378193299E-4</v>
          </cell>
          <cell r="H336">
            <v>3.0093642075661596E-3</v>
          </cell>
          <cell r="I336">
            <v>0.23991373247950076</v>
          </cell>
          <cell r="J336">
            <v>0.9832246120639313</v>
          </cell>
        </row>
        <row r="337">
          <cell r="B337" t="str">
            <v>SCOM-SWHSTG-CHPHFC</v>
          </cell>
          <cell r="C337" t="str">
            <v>VAR_ncap</v>
          </cell>
          <cell r="D337" t="str">
            <v>-</v>
          </cell>
          <cell r="E337">
            <v>6.7043731486688101E-4</v>
          </cell>
          <cell r="F337">
            <v>1.87067526063294E-5</v>
          </cell>
          <cell r="G337">
            <v>2.6653991125144E-5</v>
          </cell>
          <cell r="H337">
            <v>2.6940969574820201E-5</v>
          </cell>
          <cell r="I337">
            <v>1.2901060116837599E-2</v>
          </cell>
          <cell r="J337">
            <v>5.0695931752318499E-2</v>
          </cell>
        </row>
        <row r="338">
          <cell r="B338" t="str">
            <v>SCOM-SWHSTG-CHPHFC</v>
          </cell>
          <cell r="C338" t="str">
            <v>VAR_cap</v>
          </cell>
          <cell r="D338" t="str">
            <v>-</v>
          </cell>
          <cell r="E338">
            <v>6.7043731486688101E-4</v>
          </cell>
          <cell r="F338">
            <v>6.8685148198855371E-4</v>
          </cell>
          <cell r="G338">
            <v>7.0915189179551698E-4</v>
          </cell>
          <cell r="H338">
            <v>7.2713964362200239E-4</v>
          </cell>
          <cell r="I338">
            <v>1.3919882932097193E-2</v>
          </cell>
          <cell r="J338">
            <v>6.0479117113135902E-2</v>
          </cell>
        </row>
        <row r="339">
          <cell r="B339" t="str">
            <v>D-IHFO</v>
          </cell>
          <cell r="C339" t="str">
            <v>VAR_fout</v>
          </cell>
          <cell r="D339" t="str">
            <v>CO2</v>
          </cell>
          <cell r="E339">
            <v>213.78142314578301</v>
          </cell>
          <cell r="F339">
            <v>182.88656221462699</v>
          </cell>
          <cell r="G339">
            <v>0.141615471207337</v>
          </cell>
          <cell r="H339">
            <v>1.69317960382258E-2</v>
          </cell>
          <cell r="I339">
            <v>6.3027285407847994E-2</v>
          </cell>
          <cell r="J339"/>
        </row>
        <row r="340">
          <cell r="B340" t="str">
            <v>D-IHFO</v>
          </cell>
          <cell r="C340" t="str">
            <v>VAR_fout</v>
          </cell>
          <cell r="D340" t="str">
            <v>IHFO</v>
          </cell>
          <cell r="E340">
            <v>2.7300133018098549</v>
          </cell>
          <cell r="F340">
            <v>2.3354823829932756</v>
          </cell>
          <cell r="G340">
            <v>1.8084458155864125E-3</v>
          </cell>
          <cell r="H340">
            <v>2.1622097807986963E-4</v>
          </cell>
          <cell r="I340">
            <v>8.0486566610165798E-4</v>
          </cell>
          <cell r="J340"/>
        </row>
        <row r="341">
          <cell r="B341" t="str">
            <v>D-IHFO</v>
          </cell>
          <cell r="C341" t="str">
            <v>VAR_fin</v>
          </cell>
          <cell r="D341" t="str">
            <v>HFO</v>
          </cell>
          <cell r="E341">
            <v>2.7763821187764037</v>
          </cell>
          <cell r="F341">
            <v>2.3751501586315169</v>
          </cell>
          <cell r="G341">
            <v>1.8391619637316433E-3</v>
          </cell>
          <cell r="H341">
            <v>2.1989345504189284E-4</v>
          </cell>
          <cell r="I341">
            <v>8.1853617412789518E-4</v>
          </cell>
          <cell r="J341"/>
        </row>
        <row r="342">
          <cell r="B342" t="str">
            <v>RHNM-CHPNGA</v>
          </cell>
          <cell r="C342" t="str">
            <v>VAR_fout</v>
          </cell>
          <cell r="D342" t="str">
            <v>CO2_R</v>
          </cell>
          <cell r="E342"/>
          <cell r="F342">
            <v>7.6407151433270197</v>
          </cell>
          <cell r="G342">
            <v>7.7395640480516104</v>
          </cell>
          <cell r="H342">
            <v>30.330094223692399</v>
          </cell>
          <cell r="I342">
            <v>15.4945941393279</v>
          </cell>
          <cell r="J342"/>
        </row>
        <row r="343">
          <cell r="B343" t="str">
            <v>RHNM-CHPNGA</v>
          </cell>
          <cell r="C343" t="str">
            <v>VAR_fout</v>
          </cell>
          <cell r="D343" t="str">
            <v>RHNM_NKEV_GAS_ELC_CHP</v>
          </cell>
          <cell r="E343"/>
          <cell r="F343">
            <v>3.9553758219753869E-2</v>
          </cell>
          <cell r="G343">
            <v>3.9859475058699648E-2</v>
          </cell>
          <cell r="H343">
            <v>0.16111792295489674</v>
          </cell>
          <cell r="I343">
            <v>8.3544598645869994E-2</v>
          </cell>
          <cell r="J343"/>
        </row>
        <row r="344">
          <cell r="B344" t="str">
            <v>RHNM-CHPNGA</v>
          </cell>
          <cell r="C344" t="str">
            <v>VAR_fout</v>
          </cell>
          <cell r="D344" t="str">
            <v>RHNM_LTH_CHPNGA</v>
          </cell>
          <cell r="E344"/>
          <cell r="F344">
            <v>8.5090590671369482E-2</v>
          </cell>
          <cell r="G344">
            <v>8.4483760929014037E-2</v>
          </cell>
          <cell r="H344">
            <v>0.33297704077345397</v>
          </cell>
          <cell r="I344">
            <v>0.16845878087609845</v>
          </cell>
          <cell r="J344"/>
        </row>
        <row r="345">
          <cell r="B345" t="str">
            <v>RHNM-CHPNGA</v>
          </cell>
          <cell r="C345" t="str">
            <v>VAR_fin</v>
          </cell>
          <cell r="D345" t="str">
            <v>RNGA</v>
          </cell>
          <cell r="E345"/>
          <cell r="F345">
            <v>0.13547367275402511</v>
          </cell>
          <cell r="G345">
            <v>0.13722631290871645</v>
          </cell>
          <cell r="H345">
            <v>0.53776762807965162</v>
          </cell>
          <cell r="I345">
            <v>0.27472684644198453</v>
          </cell>
          <cell r="J345"/>
        </row>
        <row r="346">
          <cell r="B346" t="str">
            <v>RHNM-CHPNGA</v>
          </cell>
          <cell r="C346" t="str">
            <v>VAR_ncap</v>
          </cell>
          <cell r="D346" t="str">
            <v>-</v>
          </cell>
          <cell r="E346"/>
          <cell r="F346">
            <v>1.19553633254101E-2</v>
          </cell>
          <cell r="G346"/>
          <cell r="H346"/>
          <cell r="I346"/>
          <cell r="J346"/>
        </row>
        <row r="347">
          <cell r="B347" t="str">
            <v>RHNM-CHPNGA</v>
          </cell>
          <cell r="C347" t="str">
            <v>VAR_cap</v>
          </cell>
          <cell r="D347" t="str">
            <v>-</v>
          </cell>
          <cell r="E347"/>
          <cell r="F347">
            <v>1.19553633254101E-2</v>
          </cell>
          <cell r="G347">
            <v>1.19553633254101E-2</v>
          </cell>
          <cell r="H347">
            <v>1.19553633254101E-2</v>
          </cell>
          <cell r="I347">
            <v>6.1989760326992566E-3</v>
          </cell>
          <cell r="J347"/>
        </row>
        <row r="348">
          <cell r="B348" t="str">
            <v>G-INTC-EXP00-DE</v>
          </cell>
          <cell r="C348" t="str">
            <v>VAR_fout</v>
          </cell>
          <cell r="D348" t="str">
            <v>ELC_E-DE</v>
          </cell>
          <cell r="E348">
            <v>26.492981758017205</v>
          </cell>
          <cell r="F348">
            <v>2.6445416339847581E-4</v>
          </cell>
          <cell r="G348">
            <v>2.9444340926409123E-4</v>
          </cell>
          <cell r="H348">
            <v>2.6277067774163799E-4</v>
          </cell>
          <cell r="I348">
            <v>7.4170820034714501E-4</v>
          </cell>
          <cell r="J348">
            <v>2.0290546369404588E-4</v>
          </cell>
        </row>
        <row r="349">
          <cell r="B349" t="str">
            <v>G-INTC-EXP00-DE</v>
          </cell>
          <cell r="C349" t="str">
            <v>VAR_fin</v>
          </cell>
          <cell r="D349" t="str">
            <v>ELC</v>
          </cell>
          <cell r="E349">
            <v>26.492981758017205</v>
          </cell>
          <cell r="F349">
            <v>2.6445416339847581E-4</v>
          </cell>
          <cell r="G349">
            <v>2.9444340926409123E-4</v>
          </cell>
          <cell r="H349">
            <v>2.6277067774163799E-4</v>
          </cell>
          <cell r="I349">
            <v>7.4170820034714501E-4</v>
          </cell>
          <cell r="J349">
            <v>2.0290546369404588E-4</v>
          </cell>
        </row>
        <row r="350">
          <cell r="B350" t="str">
            <v>G-INTC-EXP00-DE</v>
          </cell>
          <cell r="C350" t="str">
            <v>VAR_ncap</v>
          </cell>
          <cell r="D350" t="str">
            <v>-</v>
          </cell>
          <cell r="E350">
            <v>3.3696303226425999E-7</v>
          </cell>
          <cell r="F350">
            <v>3.1971800463197802E-7</v>
          </cell>
          <cell r="G350">
            <v>5.2577898543957898E-7</v>
          </cell>
          <cell r="H350">
            <v>9.4983297751944897E-7</v>
          </cell>
          <cell r="I350">
            <v>9.5676058311294607E-7</v>
          </cell>
          <cell r="J350">
            <v>1.5482565770337299E-6</v>
          </cell>
        </row>
        <row r="351">
          <cell r="B351" t="str">
            <v>G-INTC-EXP00-DE</v>
          </cell>
          <cell r="C351" t="str">
            <v>VAR_cap</v>
          </cell>
          <cell r="D351" t="str">
            <v>-</v>
          </cell>
          <cell r="E351">
            <v>4.0262487559582247</v>
          </cell>
          <cell r="F351">
            <v>3.818332107892175E-4</v>
          </cell>
          <cell r="G351">
            <v>3.7919320319979022E-4</v>
          </cell>
          <cell r="H351">
            <v>3.7774454676497982E-4</v>
          </cell>
          <cell r="I351">
            <v>3.7619252169918127E-4</v>
          </cell>
          <cell r="J351">
            <v>1.9027937471483014E-4</v>
          </cell>
        </row>
        <row r="352">
          <cell r="B352" t="str">
            <v>CEN-EBAT</v>
          </cell>
          <cell r="C352" t="str">
            <v>VAR_fout</v>
          </cell>
          <cell r="D352" t="str">
            <v>ELC13</v>
          </cell>
          <cell r="E352">
            <v>2.1663459236617834E-3</v>
          </cell>
          <cell r="F352">
            <v>1.7276063413911771E-3</v>
          </cell>
          <cell r="G352">
            <v>2.1636897209801392E-3</v>
          </cell>
          <cell r="H352">
            <v>1.9089215188635841E-3</v>
          </cell>
          <cell r="I352">
            <v>0.44410081072884644</v>
          </cell>
          <cell r="J352">
            <v>2.88315498200887</v>
          </cell>
        </row>
        <row r="353">
          <cell r="B353" t="str">
            <v>CEN-EBAT</v>
          </cell>
          <cell r="C353" t="str">
            <v>VAR_fout</v>
          </cell>
          <cell r="D353" t="str">
            <v>AUX_CEN-EBAT_OUT</v>
          </cell>
          <cell r="E353">
            <v>2.1663459236617773E-3</v>
          </cell>
          <cell r="F353">
            <v>1.7276063413911725E-3</v>
          </cell>
          <cell r="G353">
            <v>2.1636897209801336E-3</v>
          </cell>
          <cell r="H353">
            <v>1.9089215188635787E-3</v>
          </cell>
          <cell r="I353">
            <v>0.44410081072884527</v>
          </cell>
          <cell r="J353">
            <v>2.8831549820088624</v>
          </cell>
        </row>
        <row r="354">
          <cell r="B354" t="str">
            <v>CEN-EBAT</v>
          </cell>
          <cell r="C354" t="str">
            <v>VAR_fin</v>
          </cell>
          <cell r="D354" t="str">
            <v>AUX_CEN-EBAT_IN</v>
          </cell>
          <cell r="E354">
            <v>2.5194631684484583E-3</v>
          </cell>
          <cell r="F354">
            <v>2.0077959862613085E-3</v>
          </cell>
          <cell r="G354">
            <v>2.4960159373120321E-3</v>
          </cell>
          <cell r="H354">
            <v>2.203924026742154E-3</v>
          </cell>
          <cell r="I354">
            <v>0.51220599042219428</v>
          </cell>
          <cell r="J354">
            <v>3.325289164698265</v>
          </cell>
        </row>
        <row r="355">
          <cell r="B355" t="str">
            <v>CEN-EBAT</v>
          </cell>
          <cell r="C355" t="str">
            <v>VAR_fin</v>
          </cell>
          <cell r="D355" t="str">
            <v>ELC13</v>
          </cell>
          <cell r="E355">
            <v>2.5194631684484583E-3</v>
          </cell>
          <cell r="F355">
            <v>2.0077959862613085E-3</v>
          </cell>
          <cell r="G355">
            <v>2.4960159373120321E-3</v>
          </cell>
          <cell r="H355">
            <v>2.203924026742154E-3</v>
          </cell>
          <cell r="I355">
            <v>0.51220599042219428</v>
          </cell>
          <cell r="J355">
            <v>3.325289164698265</v>
          </cell>
        </row>
        <row r="356">
          <cell r="B356" t="str">
            <v>CEN-EBAT</v>
          </cell>
          <cell r="C356" t="str">
            <v>VAR_ncap</v>
          </cell>
          <cell r="D356" t="str">
            <v>-</v>
          </cell>
          <cell r="E356">
            <v>3.6959549270204899E-4</v>
          </cell>
          <cell r="F356">
            <v>4.9033683045680198E-7</v>
          </cell>
          <cell r="G356">
            <v>2.1738393187226499E-6</v>
          </cell>
          <cell r="H356">
            <v>5.3349219050724202E-5</v>
          </cell>
          <cell r="I356">
            <v>0.22701652121355501</v>
          </cell>
          <cell r="J356">
            <v>0.82933987407424103</v>
          </cell>
        </row>
        <row r="357">
          <cell r="B357" t="str">
            <v>CEN-EBAT</v>
          </cell>
          <cell r="C357" t="str">
            <v>VAR_cap</v>
          </cell>
          <cell r="D357" t="str">
            <v>-</v>
          </cell>
          <cell r="E357">
            <v>3.6959549270204899E-4</v>
          </cell>
          <cell r="F357">
            <v>3.6984478413141819E-4</v>
          </cell>
          <cell r="G357">
            <v>3.7187536340044892E-4</v>
          </cell>
          <cell r="H357">
            <v>3.2596283921430477E-4</v>
          </cell>
          <cell r="I357">
            <v>0.22747719134165206</v>
          </cell>
          <cell r="J357">
            <v>0.94326882126790812</v>
          </cell>
        </row>
        <row r="358">
          <cell r="B358" t="str">
            <v>ESOL-PV</v>
          </cell>
          <cell r="C358" t="str">
            <v>VAR_fout</v>
          </cell>
          <cell r="D358" t="str">
            <v>ELC35</v>
          </cell>
          <cell r="E358"/>
          <cell r="F358"/>
          <cell r="G358">
            <v>0.14080599505170271</v>
          </cell>
          <cell r="H358">
            <v>0.23805218355200586</v>
          </cell>
          <cell r="I358">
            <v>1.42125750562395</v>
          </cell>
          <cell r="J358">
            <v>5.8670674107993133</v>
          </cell>
        </row>
        <row r="359">
          <cell r="B359" t="str">
            <v>ESOL-PV</v>
          </cell>
          <cell r="C359" t="str">
            <v>VAR_fin</v>
          </cell>
          <cell r="D359" t="str">
            <v>SOL</v>
          </cell>
          <cell r="E359"/>
          <cell r="F359"/>
          <cell r="G359">
            <v>0.14080599505170271</v>
          </cell>
          <cell r="H359">
            <v>0.23805218355200586</v>
          </cell>
          <cell r="I359">
            <v>1.42125750562395</v>
          </cell>
          <cell r="J359">
            <v>5.8670674107993133</v>
          </cell>
        </row>
        <row r="360">
          <cell r="B360" t="str">
            <v>ESOL-PV</v>
          </cell>
          <cell r="C360" t="str">
            <v>VAR_fin</v>
          </cell>
          <cell r="D360" t="str">
            <v>SOLPVC</v>
          </cell>
          <cell r="E360"/>
          <cell r="F360"/>
          <cell r="G360">
            <v>0.14080599505170299</v>
          </cell>
          <cell r="H360">
            <v>0.238052183552006</v>
          </cell>
          <cell r="I360">
            <v>1.42125750562395</v>
          </cell>
          <cell r="J360">
            <v>5.8670674107993204</v>
          </cell>
        </row>
        <row r="361">
          <cell r="B361" t="str">
            <v>ESOL-PV</v>
          </cell>
          <cell r="C361" t="str">
            <v>VAR_ncap</v>
          </cell>
          <cell r="D361" t="str">
            <v>-</v>
          </cell>
          <cell r="E361"/>
          <cell r="F361"/>
          <cell r="G361">
            <v>4.4925556050438402E-2</v>
          </cell>
          <cell r="H361">
            <v>2.36977982596288E-2</v>
          </cell>
          <cell r="I361">
            <v>0.17054335411760899</v>
          </cell>
          <cell r="J361">
            <v>1.3787030017265101</v>
          </cell>
        </row>
        <row r="362">
          <cell r="B362" t="str">
            <v>ESOL-PV</v>
          </cell>
          <cell r="C362" t="str">
            <v>VAR_cap</v>
          </cell>
          <cell r="D362" t="str">
            <v>-</v>
          </cell>
          <cell r="E362"/>
          <cell r="F362"/>
          <cell r="G362">
            <v>4.4925556050438402E-2</v>
          </cell>
          <cell r="H362">
            <v>6.8623354310067095E-2</v>
          </cell>
          <cell r="I362">
            <v>0.40970835820384599</v>
          </cell>
          <cell r="J362">
            <v>1.6913065047621101</v>
          </cell>
        </row>
        <row r="363">
          <cell r="B363" t="str">
            <v>RHEM-SHSTG-CHPNGA</v>
          </cell>
          <cell r="C363" t="str">
            <v>VAR_fout</v>
          </cell>
          <cell r="D363" t="str">
            <v>RHEM_LTH_CHPNGA</v>
          </cell>
          <cell r="E363">
            <v>2.3012043972759275E-2</v>
          </cell>
          <cell r="F363">
            <v>2.7526736499320059E-4</v>
          </cell>
          <cell r="G363">
            <v>1.8776579703065244E-3</v>
          </cell>
          <cell r="H363">
            <v>5.4414047976760382E-4</v>
          </cell>
          <cell r="I363">
            <v>7.1014161307651072E-3</v>
          </cell>
          <cell r="J363">
            <v>2.0167485754933595E-4</v>
          </cell>
        </row>
        <row r="364">
          <cell r="B364" t="str">
            <v>RHEM-SHSTG-CHPNGA</v>
          </cell>
          <cell r="C364" t="str">
            <v>VAR_fout</v>
          </cell>
          <cell r="D364" t="str">
            <v>AUX_REM-CHPNGA_OUT</v>
          </cell>
          <cell r="E364">
            <v>2.3012043972759327E-2</v>
          </cell>
          <cell r="F364">
            <v>2.7508397567608368E-4</v>
          </cell>
          <cell r="G364">
            <v>1.8757041118566762E-3</v>
          </cell>
          <cell r="H364">
            <v>5.4414047976760382E-4</v>
          </cell>
          <cell r="I364">
            <v>7.1014161307651272E-3</v>
          </cell>
          <cell r="J364">
            <v>2.0167485754933611E-4</v>
          </cell>
        </row>
        <row r="365">
          <cell r="B365" t="str">
            <v>RHEM-SHSTG-CHPNGA</v>
          </cell>
          <cell r="C365" t="str">
            <v>VAR_fin</v>
          </cell>
          <cell r="D365" t="str">
            <v>AUX_REM-CHPNGA_IN</v>
          </cell>
          <cell r="E365">
            <v>3.0693398889149306E-2</v>
          </cell>
          <cell r="F365">
            <v>3.5983943255562558E-4</v>
          </cell>
          <cell r="G365">
            <v>2.4182638976112522E-3</v>
          </cell>
          <cell r="H365">
            <v>6.8243588980845793E-4</v>
          </cell>
          <cell r="I365">
            <v>8.3568814794828753E-3</v>
          </cell>
          <cell r="J365">
            <v>1.5878180092627833E-4</v>
          </cell>
        </row>
        <row r="366">
          <cell r="B366" t="str">
            <v>RHEM-SHSTG-CHPNGA</v>
          </cell>
          <cell r="C366" t="str">
            <v>VAR_fin</v>
          </cell>
          <cell r="D366" t="str">
            <v>RHEM_LTH_CHPNGA</v>
          </cell>
          <cell r="E366">
            <v>3.0693398889149306E-2</v>
          </cell>
          <cell r="F366">
            <v>3.5983943255562558E-4</v>
          </cell>
          <cell r="G366">
            <v>2.4182638976112522E-3</v>
          </cell>
          <cell r="H366">
            <v>6.8243588980845793E-4</v>
          </cell>
          <cell r="I366">
            <v>8.3568814794828753E-3</v>
          </cell>
          <cell r="J366">
            <v>1.5878180092627833E-4</v>
          </cell>
        </row>
        <row r="367">
          <cell r="B367" t="str">
            <v>RHEM-SHSTG-CHPNGA</v>
          </cell>
          <cell r="C367" t="str">
            <v>VAR_ncap</v>
          </cell>
          <cell r="D367" t="str">
            <v>-</v>
          </cell>
          <cell r="E367">
            <v>2.0298855484964001E-3</v>
          </cell>
          <cell r="F367">
            <v>1.82988836754131E-5</v>
          </cell>
          <cell r="G367">
            <v>1.6103224396213801E-5</v>
          </cell>
          <cell r="H367">
            <v>1.43375333469444E-5</v>
          </cell>
          <cell r="I367">
            <v>2.7282767762849998E-3</v>
          </cell>
          <cell r="J367">
            <v>1.0118667787502599E-5</v>
          </cell>
        </row>
        <row r="368">
          <cell r="B368" t="str">
            <v>RHEM-SHSTG-CHPNGA</v>
          </cell>
          <cell r="C368" t="str">
            <v>VAR_cap</v>
          </cell>
          <cell r="D368" t="str">
            <v>-</v>
          </cell>
          <cell r="E368">
            <v>2.0298855484964001E-3</v>
          </cell>
          <cell r="F368">
            <v>2.0443002136246555E-3</v>
          </cell>
          <cell r="G368">
            <v>2.0500746980861274E-3</v>
          </cell>
          <cell r="H368">
            <v>2.0356393032176078E-3</v>
          </cell>
          <cell r="I368">
            <v>4.6972595366067404E-3</v>
          </cell>
          <cell r="J368">
            <v>8.5155700965024997E-4</v>
          </cell>
        </row>
        <row r="369">
          <cell r="B369" t="str">
            <v>RHNS-ESOLPV</v>
          </cell>
          <cell r="C369" t="str">
            <v>VAR_fout</v>
          </cell>
          <cell r="D369" t="str">
            <v>RHNS_SOL_ELC</v>
          </cell>
          <cell r="E369"/>
          <cell r="F369">
            <v>1.1931391100642856E-6</v>
          </cell>
          <cell r="G369">
            <v>1.4459867847021334E-3</v>
          </cell>
          <cell r="H369">
            <v>1.6015935280531567E-3</v>
          </cell>
          <cell r="I369">
            <v>1.7884505581372539E-3</v>
          </cell>
          <cell r="J369">
            <v>1.9811284888318508E-3</v>
          </cell>
        </row>
        <row r="370">
          <cell r="B370" t="str">
            <v>RHNS-ESOLPV</v>
          </cell>
          <cell r="C370" t="str">
            <v>VAR_fin</v>
          </cell>
          <cell r="D370" t="str">
            <v>SOL</v>
          </cell>
          <cell r="E370"/>
          <cell r="F370">
            <v>1.1931391100642856E-6</v>
          </cell>
          <cell r="G370">
            <v>1.4459867847021334E-3</v>
          </cell>
          <cell r="H370">
            <v>1.6015935280531567E-3</v>
          </cell>
          <cell r="I370">
            <v>1.7884505581372539E-3</v>
          </cell>
          <cell r="J370">
            <v>1.9811284888318508E-3</v>
          </cell>
        </row>
        <row r="371">
          <cell r="B371" t="str">
            <v>RHNS-ESOLPV</v>
          </cell>
          <cell r="C371" t="str">
            <v>VAR_fin</v>
          </cell>
          <cell r="D371" t="str">
            <v>SOLPVC</v>
          </cell>
          <cell r="E371"/>
          <cell r="F371">
            <v>1.1931391100642901E-6</v>
          </cell>
          <cell r="G371">
            <v>1.4459867847021299E-3</v>
          </cell>
          <cell r="H371">
            <v>1.6015935280531599E-3</v>
          </cell>
          <cell r="I371">
            <v>1.78845055813725E-3</v>
          </cell>
          <cell r="J371">
            <v>1.98112848883185E-3</v>
          </cell>
        </row>
        <row r="372">
          <cell r="B372" t="str">
            <v>RHNS-ESOLPV</v>
          </cell>
          <cell r="C372" t="str">
            <v>VAR_ncap</v>
          </cell>
          <cell r="D372" t="str">
            <v>-</v>
          </cell>
          <cell r="E372"/>
          <cell r="F372">
            <v>5.8177112985829305E-7</v>
          </cell>
          <cell r="G372">
            <v>4.6090553313687602E-4</v>
          </cell>
          <cell r="H372">
            <v>2.95379764555072E-7</v>
          </cell>
          <cell r="I372">
            <v>2.9642562426482199E-5</v>
          </cell>
          <cell r="J372">
            <v>5.2223945095989299E-4</v>
          </cell>
        </row>
        <row r="373">
          <cell r="B373" t="str">
            <v>RHNS-ESOLPV</v>
          </cell>
          <cell r="C373" t="str">
            <v>VAR_cap</v>
          </cell>
          <cell r="D373" t="str">
            <v>-</v>
          </cell>
          <cell r="E373"/>
          <cell r="F373">
            <v>5.8177112985829305E-7</v>
          </cell>
          <cell r="G373">
            <v>4.6148730426673503E-4</v>
          </cell>
          <cell r="H373">
            <v>4.6178268403128999E-4</v>
          </cell>
          <cell r="I373">
            <v>5.1618696641235104E-4</v>
          </cell>
          <cell r="J373">
            <v>5.7191366768114297E-4</v>
          </cell>
        </row>
        <row r="374">
          <cell r="B374" t="str">
            <v>RHSA-WHSTG-CHP</v>
          </cell>
          <cell r="C374" t="str">
            <v>VAR_fout</v>
          </cell>
          <cell r="D374" t="str">
            <v>AUX_RHSA-CHP_OUT</v>
          </cell>
          <cell r="E374">
            <v>3.9610147474212015E-2</v>
          </cell>
          <cell r="F374">
            <v>3.6697468659029157E-4</v>
          </cell>
          <cell r="G374">
            <v>2.4024915433734908E-3</v>
          </cell>
          <cell r="H374">
            <v>6.7706996480568682E-4</v>
          </cell>
          <cell r="I374">
            <v>7.1831822850144797E-3</v>
          </cell>
          <cell r="J374">
            <v>3.3539913002126076E-3</v>
          </cell>
        </row>
        <row r="375">
          <cell r="B375" t="str">
            <v>RHSA-WHSTG-CHP</v>
          </cell>
          <cell r="C375" t="str">
            <v>VAR_fout</v>
          </cell>
          <cell r="D375" t="str">
            <v>RHSA_LTH</v>
          </cell>
          <cell r="E375">
            <v>3.9610147474211869E-2</v>
          </cell>
          <cell r="F375">
            <v>3.6721933638135122E-4</v>
          </cell>
          <cell r="G375">
            <v>2.4049941387311695E-3</v>
          </cell>
          <cell r="H375">
            <v>6.7706996480568682E-4</v>
          </cell>
          <cell r="I375">
            <v>7.1831822850144502E-3</v>
          </cell>
          <cell r="J375">
            <v>3.3539913002126041E-3</v>
          </cell>
        </row>
        <row r="376">
          <cell r="B376" t="str">
            <v>RHSA-WHSTG-CHP</v>
          </cell>
          <cell r="C376" t="str">
            <v>VAR_fin</v>
          </cell>
          <cell r="D376" t="str">
            <v>RHSA_LTH</v>
          </cell>
          <cell r="E376">
            <v>5.2801475085073865E-2</v>
          </cell>
          <cell r="F376">
            <v>4.8450183990248884E-4</v>
          </cell>
          <cell r="G376">
            <v>3.0986976633254355E-3</v>
          </cell>
          <cell r="H376">
            <v>8.4859774612613514E-4</v>
          </cell>
          <cell r="I376">
            <v>8.4530746168926703E-3</v>
          </cell>
          <cell r="J376">
            <v>3.7290141721792055E-3</v>
          </cell>
        </row>
        <row r="377">
          <cell r="B377" t="str">
            <v>RHSA-WHSTG-CHP</v>
          </cell>
          <cell r="C377" t="str">
            <v>VAR_fin</v>
          </cell>
          <cell r="D377" t="str">
            <v>AUX_RHSA-CHP_IN</v>
          </cell>
          <cell r="E377">
            <v>5.2801475085073865E-2</v>
          </cell>
          <cell r="F377">
            <v>4.8450183990248884E-4</v>
          </cell>
          <cell r="G377">
            <v>3.0986976633254355E-3</v>
          </cell>
          <cell r="H377">
            <v>8.4859774612613514E-4</v>
          </cell>
          <cell r="I377">
            <v>8.4530746168926703E-3</v>
          </cell>
          <cell r="J377">
            <v>3.7290141721792055E-3</v>
          </cell>
        </row>
        <row r="378">
          <cell r="B378" t="str">
            <v>RHSA-WHSTG-CHP</v>
          </cell>
          <cell r="C378" t="str">
            <v>VAR_ncap</v>
          </cell>
          <cell r="D378" t="str">
            <v>-</v>
          </cell>
          <cell r="E378">
            <v>1.8412658787293E-3</v>
          </cell>
          <cell r="F378">
            <v>1.18328577340522E-5</v>
          </cell>
          <cell r="G378">
            <v>1.14825847206478E-5</v>
          </cell>
          <cell r="H378">
            <v>1.1541961792716399E-5</v>
          </cell>
          <cell r="I378">
            <v>1.8745990500185601E-3</v>
          </cell>
          <cell r="J378">
            <v>2.2644750751993201E-5</v>
          </cell>
        </row>
        <row r="379">
          <cell r="B379" t="str">
            <v>RHSA-WHSTG-CHP</v>
          </cell>
          <cell r="C379" t="str">
            <v>VAR_cap</v>
          </cell>
          <cell r="D379" t="str">
            <v>-</v>
          </cell>
          <cell r="E379">
            <v>2.5252519881939833E-3</v>
          </cell>
          <cell r="F379">
            <v>2.5230742838191766E-3</v>
          </cell>
          <cell r="G379">
            <v>2.5103875162438821E-3</v>
          </cell>
          <cell r="H379">
            <v>2.1020492790597466E-3</v>
          </cell>
          <cell r="I379">
            <v>3.8537543346950356E-3</v>
          </cell>
          <cell r="J379">
            <v>1.9958636478711101E-3</v>
          </cell>
        </row>
        <row r="380">
          <cell r="B380" t="str">
            <v>G-INTC-SER</v>
          </cell>
          <cell r="C380" t="str">
            <v>VAR_fout</v>
          </cell>
          <cell r="D380" t="str">
            <v>ELC35</v>
          </cell>
          <cell r="E380">
            <v>54.105390418362838</v>
          </cell>
          <cell r="F380">
            <v>2.203738412974417E-3</v>
          </cell>
          <cell r="G380">
            <v>4.6162386183171951E-3</v>
          </cell>
          <cell r="H380">
            <v>1.2230045422475832E-3</v>
          </cell>
          <cell r="I380">
            <v>1.6224164965915389E-3</v>
          </cell>
          <cell r="J380">
            <v>1.2665003676694802E-2</v>
          </cell>
        </row>
        <row r="381">
          <cell r="B381" t="str">
            <v>G-INTC-SER</v>
          </cell>
          <cell r="C381" t="str">
            <v>VAR_fout</v>
          </cell>
          <cell r="D381" t="str">
            <v>SCOM_ELC</v>
          </cell>
          <cell r="E381">
            <v>59.473989575632707</v>
          </cell>
          <cell r="F381">
            <v>58.531645841085272</v>
          </cell>
          <cell r="G381">
            <v>57.040015446262565</v>
          </cell>
          <cell r="H381">
            <v>57.537890390815065</v>
          </cell>
          <cell r="I381">
            <v>59.439561019050565</v>
          </cell>
          <cell r="J381">
            <v>59.907295360997175</v>
          </cell>
        </row>
        <row r="382">
          <cell r="B382" t="str">
            <v>G-INTC-SER</v>
          </cell>
          <cell r="C382" t="str">
            <v>VAR_fin</v>
          </cell>
          <cell r="D382" t="str">
            <v>ELC5</v>
          </cell>
          <cell r="E382">
            <v>113.57937165893924</v>
          </cell>
          <cell r="F382">
            <v>58.533849579498224</v>
          </cell>
          <cell r="G382">
            <v>57.044631684880912</v>
          </cell>
          <cell r="H382">
            <v>57.539113395357298</v>
          </cell>
          <cell r="I382">
            <v>59.441183435547174</v>
          </cell>
          <cell r="J382">
            <v>59.919960364673841</v>
          </cell>
        </row>
        <row r="383">
          <cell r="B383" t="str">
            <v>G-INTC-SER</v>
          </cell>
          <cell r="C383" t="str">
            <v>VAR_ncap</v>
          </cell>
          <cell r="D383" t="str">
            <v>-</v>
          </cell>
          <cell r="E383">
            <v>3.1131543481311702E-8</v>
          </cell>
          <cell r="F383">
            <v>3.0906752329478598E-8</v>
          </cell>
          <cell r="G383">
            <v>3.2556931897175702E-8</v>
          </cell>
          <cell r="H383">
            <v>4.16997363731509E-8</v>
          </cell>
          <cell r="I383">
            <v>7.6967175042163596E-8</v>
          </cell>
          <cell r="J383">
            <v>1.29527097294456E-7</v>
          </cell>
        </row>
        <row r="384">
          <cell r="B384" t="str">
            <v>G-INTC-SER</v>
          </cell>
          <cell r="C384" t="str">
            <v>VAR_cap</v>
          </cell>
          <cell r="D384" t="str">
            <v>-</v>
          </cell>
          <cell r="E384">
            <v>4.3683888589490198</v>
          </cell>
          <cell r="F384">
            <v>4.3683888690710413</v>
          </cell>
          <cell r="G384">
            <v>4.3683889209873152</v>
          </cell>
          <cell r="H384">
            <v>4.3683889764869983</v>
          </cell>
          <cell r="I384">
            <v>4.3683890898860493</v>
          </cell>
          <cell r="J384">
            <v>4.3683892256397643</v>
          </cell>
        </row>
        <row r="385">
          <cell r="B385" t="str">
            <v>CHPWOD</v>
          </cell>
          <cell r="C385" t="str">
            <v>VAR_fout</v>
          </cell>
          <cell r="D385" t="str">
            <v>ELC35</v>
          </cell>
          <cell r="E385">
            <v>0.34930424747185884</v>
          </cell>
          <cell r="F385">
            <v>1.1777356555795814E-4</v>
          </cell>
          <cell r="G385">
            <v>2.5906784473204959E-4</v>
          </cell>
          <cell r="H385">
            <v>1.0729930070482658</v>
          </cell>
          <cell r="I385">
            <v>1.3385497582372456</v>
          </cell>
          <cell r="J385">
            <v>1.4671808481685917</v>
          </cell>
        </row>
        <row r="386">
          <cell r="B386" t="str">
            <v>CHPWOD</v>
          </cell>
          <cell r="C386" t="str">
            <v>VAR_fout</v>
          </cell>
          <cell r="D386" t="str">
            <v>LTH</v>
          </cell>
          <cell r="E386">
            <v>0.91349513602616739</v>
          </cell>
          <cell r="F386">
            <v>3.0799963089003443E-4</v>
          </cell>
          <cell r="G386">
            <v>6.7751027299653888E-4</v>
          </cell>
          <cell r="H386">
            <v>2.8060749333076718</v>
          </cell>
          <cell r="I386">
            <v>3.5005548954203189</v>
          </cell>
          <cell r="J386">
            <v>3.8369489583167207</v>
          </cell>
        </row>
        <row r="387">
          <cell r="B387" t="str">
            <v>CHPWOD</v>
          </cell>
          <cell r="C387" t="str">
            <v>VAR_fin</v>
          </cell>
          <cell r="D387" t="str">
            <v>EWOD</v>
          </cell>
          <cell r="E387">
            <v>1.4321948300833025</v>
          </cell>
          <cell r="F387">
            <v>6.2499979127427364E-4</v>
          </cell>
          <cell r="G387">
            <v>1.29776670783591E-3</v>
          </cell>
          <cell r="H387">
            <v>3.9006892668363764</v>
          </cell>
          <cell r="I387">
            <v>4.3739998934395876</v>
          </cell>
          <cell r="J387">
            <v>4.7910999532275635</v>
          </cell>
        </row>
        <row r="388">
          <cell r="B388" t="str">
            <v>CHPWOD</v>
          </cell>
          <cell r="C388" t="str">
            <v>VAR_ncap</v>
          </cell>
          <cell r="D388" t="str">
            <v>-</v>
          </cell>
          <cell r="E388"/>
          <cell r="F388">
            <v>4.1331102259415203E-8</v>
          </cell>
          <cell r="G388">
            <v>2.55102985022847E-5</v>
          </cell>
          <cell r="H388">
            <v>3.9982655798053303E-2</v>
          </cell>
          <cell r="I388">
            <v>6.3801625999014594E-2</v>
          </cell>
          <cell r="J388">
            <v>6.1406191427627E-3</v>
          </cell>
        </row>
        <row r="389">
          <cell r="B389" t="str">
            <v>CHPWOD</v>
          </cell>
          <cell r="C389" t="str">
            <v>VAR_cap</v>
          </cell>
          <cell r="D389" t="str">
            <v>-</v>
          </cell>
          <cell r="E389">
            <v>1.30448508637864E-2</v>
          </cell>
          <cell r="F389">
            <v>2.1397878159655492E-5</v>
          </cell>
          <cell r="G389">
            <v>4.6851315142745764E-5</v>
          </cell>
          <cell r="H389">
            <v>4.0028894299357499E-2</v>
          </cell>
          <cell r="I389">
            <v>0.10381522921316501</v>
          </cell>
          <cell r="J389">
            <v>8.0341130658293847E-2</v>
          </cell>
        </row>
        <row r="390">
          <cell r="B390" t="str">
            <v>D-EH2R</v>
          </cell>
          <cell r="C390" t="str">
            <v>VAR_fout</v>
          </cell>
          <cell r="D390" t="str">
            <v>EH2</v>
          </cell>
          <cell r="E390"/>
          <cell r="F390"/>
          <cell r="G390"/>
          <cell r="H390"/>
          <cell r="I390">
            <v>3.6380618798152763E-3</v>
          </cell>
          <cell r="J390">
            <v>3.919683795071743E-3</v>
          </cell>
        </row>
        <row r="391">
          <cell r="B391" t="str">
            <v>D-EH2R</v>
          </cell>
          <cell r="C391" t="str">
            <v>VAR_fin</v>
          </cell>
          <cell r="D391" t="str">
            <v>H2</v>
          </cell>
          <cell r="E391"/>
          <cell r="F391"/>
          <cell r="G391"/>
          <cell r="H391"/>
          <cell r="I391">
            <v>3.6380618798152763E-3</v>
          </cell>
          <cell r="J391">
            <v>3.919683795071743E-3</v>
          </cell>
        </row>
        <row r="392">
          <cell r="B392" t="str">
            <v>D-EH2R</v>
          </cell>
          <cell r="C392" t="str">
            <v>VAR_ncap</v>
          </cell>
          <cell r="D392" t="str">
            <v>-</v>
          </cell>
          <cell r="E392"/>
          <cell r="F392"/>
          <cell r="G392"/>
          <cell r="H392">
            <v>2.1851572430411699E-7</v>
          </cell>
          <cell r="I392">
            <v>3.0283660400490302E-4</v>
          </cell>
          <cell r="J392">
            <v>1.43630622909847E-4</v>
          </cell>
        </row>
        <row r="393">
          <cell r="B393" t="str">
            <v>D-EH2R</v>
          </cell>
          <cell r="C393" t="str">
            <v>VAR_cap</v>
          </cell>
          <cell r="D393" t="str">
            <v>-</v>
          </cell>
          <cell r="E393"/>
          <cell r="F393"/>
          <cell r="G393"/>
          <cell r="H393">
            <v>2.1851572430411699E-7</v>
          </cell>
          <cell r="I393">
            <v>3.0294096216083502E-4</v>
          </cell>
          <cell r="J393">
            <v>2.47358594073429E-4</v>
          </cell>
        </row>
        <row r="394">
          <cell r="B394" t="str">
            <v>G-INTC1</v>
          </cell>
          <cell r="C394" t="str">
            <v>VAR_fout</v>
          </cell>
          <cell r="D394" t="str">
            <v>ELC13</v>
          </cell>
          <cell r="E394">
            <v>124.98136600579383</v>
          </cell>
          <cell r="F394">
            <v>139.81124968351938</v>
          </cell>
          <cell r="G394">
            <v>119.69116736035818</v>
          </cell>
          <cell r="H394">
            <v>129.90398840406152</v>
          </cell>
          <cell r="I394">
            <v>120.7112662462558</v>
          </cell>
          <cell r="J394">
            <v>89.067311606928882</v>
          </cell>
        </row>
        <row r="395">
          <cell r="B395" t="str">
            <v>G-INTC1</v>
          </cell>
          <cell r="C395" t="str">
            <v>VAR_fin</v>
          </cell>
          <cell r="D395" t="str">
            <v>ELC</v>
          </cell>
          <cell r="E395">
            <v>126.29754944250345</v>
          </cell>
          <cell r="F395">
            <v>143.43513419240682</v>
          </cell>
          <cell r="G395">
            <v>122.52698648651884</v>
          </cell>
          <cell r="H395">
            <v>132.50239151098029</v>
          </cell>
          <cell r="I395">
            <v>122.24443346021353</v>
          </cell>
          <cell r="J395">
            <v>89.55749531785149</v>
          </cell>
        </row>
        <row r="396">
          <cell r="B396" t="str">
            <v>G-INTC1</v>
          </cell>
          <cell r="C396" t="str">
            <v>VAR_ncap</v>
          </cell>
          <cell r="D396" t="str">
            <v>-</v>
          </cell>
          <cell r="E396">
            <v>5.8447592742425097E-8</v>
          </cell>
          <cell r="F396">
            <v>5.6982793233154698E-8</v>
          </cell>
          <cell r="G396">
            <v>6.4893343998246405E-8</v>
          </cell>
          <cell r="H396">
            <v>7.87010843190391E-8</v>
          </cell>
          <cell r="I396">
            <v>1.73059180012923E-7</v>
          </cell>
          <cell r="J396">
            <v>5.4819462412441398E-7</v>
          </cell>
        </row>
        <row r="397">
          <cell r="B397" t="str">
            <v>G-INTC1</v>
          </cell>
          <cell r="C397" t="str">
            <v>VAR_cap</v>
          </cell>
          <cell r="D397" t="str">
            <v>-</v>
          </cell>
          <cell r="E397">
            <v>15.305609183965201</v>
          </cell>
          <cell r="F397">
            <v>15.305609183965201</v>
          </cell>
          <cell r="G397">
            <v>15.305609183965201</v>
          </cell>
          <cell r="H397">
            <v>15.305609239343289</v>
          </cell>
          <cell r="I397">
            <v>15.305609442990015</v>
          </cell>
          <cell r="J397">
            <v>15.305609783597793</v>
          </cell>
        </row>
        <row r="398">
          <cell r="B398" t="str">
            <v>EHYD-RUNS00</v>
          </cell>
          <cell r="C398" t="str">
            <v>VAR_fout</v>
          </cell>
          <cell r="D398" t="str">
            <v>ELC35</v>
          </cell>
          <cell r="E398">
            <v>12.240000270355008</v>
          </cell>
          <cell r="F398">
            <v>12.242279715664758</v>
          </cell>
          <cell r="G398">
            <v>12.247150948858824</v>
          </cell>
          <cell r="H398">
            <v>12.255309350850034</v>
          </cell>
          <cell r="I398">
            <v>12.271539500983666</v>
          </cell>
          <cell r="J398">
            <v>12.287922811503421</v>
          </cell>
        </row>
        <row r="399">
          <cell r="B399" t="str">
            <v>EHYD-RUNS00</v>
          </cell>
          <cell r="C399" t="str">
            <v>VAR_fin</v>
          </cell>
          <cell r="D399" t="str">
            <v>HYDR</v>
          </cell>
          <cell r="E399">
            <v>12.240000270355008</v>
          </cell>
          <cell r="F399">
            <v>12.242279715664758</v>
          </cell>
          <cell r="G399">
            <v>12.247150948858824</v>
          </cell>
          <cell r="H399">
            <v>12.255309350850034</v>
          </cell>
          <cell r="I399">
            <v>12.271539500983666</v>
          </cell>
          <cell r="J399">
            <v>12.287922811503421</v>
          </cell>
        </row>
        <row r="400">
          <cell r="B400" t="str">
            <v>EHYD-RUNS00</v>
          </cell>
          <cell r="C400" t="str">
            <v>VAR_cap</v>
          </cell>
          <cell r="D400" t="str">
            <v>-</v>
          </cell>
          <cell r="E400">
            <v>0.85785999999999896</v>
          </cell>
          <cell r="F400">
            <v>0.88297936593724102</v>
          </cell>
          <cell r="G400">
            <v>0.89707999999999899</v>
          </cell>
          <cell r="H400">
            <v>0.89707999999999899</v>
          </cell>
          <cell r="I400">
            <v>0.89707999999999899</v>
          </cell>
          <cell r="J400">
            <v>0.89707999999999899</v>
          </cell>
        </row>
        <row r="401">
          <cell r="B401" t="str">
            <v>RHNS-SHSTG-CHPWOD</v>
          </cell>
          <cell r="C401" t="str">
            <v>VAR_fout</v>
          </cell>
          <cell r="D401" t="str">
            <v>AUX_RNS-CHPWOD_OUT</v>
          </cell>
          <cell r="E401">
            <v>3.5855480864569161E-4</v>
          </cell>
          <cell r="F401">
            <v>2.2805841023477497E-4</v>
          </cell>
          <cell r="G401">
            <v>1.4587223778425492E-4</v>
          </cell>
          <cell r="H401">
            <v>2.6905157837497793E-4</v>
          </cell>
          <cell r="I401">
            <v>1.096388814883568E-3</v>
          </cell>
          <cell r="J401">
            <v>6.3517063977251503E-4</v>
          </cell>
        </row>
        <row r="402">
          <cell r="B402" t="str">
            <v>RHNS-SHSTG-CHPWOD</v>
          </cell>
          <cell r="C402" t="str">
            <v>VAR_fout</v>
          </cell>
          <cell r="D402" t="str">
            <v>RHNS_LTH_CHPWOD</v>
          </cell>
          <cell r="E402">
            <v>3.5855480864569096E-4</v>
          </cell>
          <cell r="F402">
            <v>2.2821044917493099E-4</v>
          </cell>
          <cell r="G402">
            <v>1.4602418803194678E-4</v>
          </cell>
          <cell r="H402">
            <v>2.6905157837497793E-4</v>
          </cell>
          <cell r="I402">
            <v>1.0963888148835638E-3</v>
          </cell>
          <cell r="J402">
            <v>6.3517063977251459E-4</v>
          </cell>
        </row>
        <row r="403">
          <cell r="B403" t="str">
            <v>RHNS-SHSTG-CHPWOD</v>
          </cell>
          <cell r="C403" t="str">
            <v>VAR_fin</v>
          </cell>
          <cell r="D403" t="str">
            <v>AUX_RNS-CHPWOD_IN</v>
          </cell>
          <cell r="E403">
            <v>2.8184641160807281E-4</v>
          </cell>
          <cell r="F403">
            <v>1.3997144904285709E-4</v>
          </cell>
          <cell r="G403">
            <v>1.155786358040704E-4</v>
          </cell>
          <cell r="H403">
            <v>3.3857476307329364E-4</v>
          </cell>
          <cell r="I403">
            <v>1.2921294840821846E-3</v>
          </cell>
          <cell r="J403">
            <v>7.0808305716858831E-4</v>
          </cell>
        </row>
        <row r="404">
          <cell r="B404" t="str">
            <v>RHNS-SHSTG-CHPWOD</v>
          </cell>
          <cell r="C404" t="str">
            <v>VAR_fin</v>
          </cell>
          <cell r="D404" t="str">
            <v>RHNS_LTH_CHPWOD</v>
          </cell>
          <cell r="E404">
            <v>2.8184641160807281E-4</v>
          </cell>
          <cell r="F404">
            <v>1.3997144904285709E-4</v>
          </cell>
          <cell r="G404">
            <v>1.155786358040704E-4</v>
          </cell>
          <cell r="H404">
            <v>3.3857476307329364E-4</v>
          </cell>
          <cell r="I404">
            <v>1.2921294840821846E-3</v>
          </cell>
          <cell r="J404">
            <v>7.0808305716858831E-4</v>
          </cell>
        </row>
        <row r="405">
          <cell r="B405" t="str">
            <v>RHNS-SHSTG-CHPWOD</v>
          </cell>
          <cell r="C405" t="str">
            <v>VAR_ncap</v>
          </cell>
          <cell r="D405" t="str">
            <v>-</v>
          </cell>
          <cell r="E405">
            <v>7.42688669581996E-4</v>
          </cell>
          <cell r="F405">
            <v>1.5892615526555699E-5</v>
          </cell>
          <cell r="G405">
            <v>2.45699552511919E-5</v>
          </cell>
          <cell r="H405">
            <v>2.0214103830701402E-5</v>
          </cell>
          <cell r="I405">
            <v>5.8824450172781903E-5</v>
          </cell>
          <cell r="J405">
            <v>1.3014742599015201E-4</v>
          </cell>
        </row>
        <row r="406">
          <cell r="B406" t="str">
            <v>RHNS-SHSTG-CHPWOD</v>
          </cell>
          <cell r="C406" t="str">
            <v>VAR_cap</v>
          </cell>
          <cell r="D406" t="str">
            <v>-</v>
          </cell>
          <cell r="E406">
            <v>7.42688669581996E-4</v>
          </cell>
          <cell r="F406">
            <v>7.5650809241476185E-4</v>
          </cell>
          <cell r="G406">
            <v>7.7519245350069811E-4</v>
          </cell>
          <cell r="H406">
            <v>7.8717701967779337E-4</v>
          </cell>
          <cell r="I406">
            <v>1.0294812481550487E-3</v>
          </cell>
          <cell r="J406">
            <v>5.7463212267800648E-4</v>
          </cell>
        </row>
        <row r="407">
          <cell r="B407" t="str">
            <v>HPLOIL</v>
          </cell>
          <cell r="C407" t="str">
            <v>VAR_fout</v>
          </cell>
          <cell r="D407" t="str">
            <v>LTH</v>
          </cell>
          <cell r="E407">
            <v>0.18408143843466365</v>
          </cell>
          <cell r="F407">
            <v>0.18586910679802096</v>
          </cell>
          <cell r="G407">
            <v>5.3206255930339758E-2</v>
          </cell>
          <cell r="H407">
            <v>5.3595471504837872E-2</v>
          </cell>
          <cell r="I407">
            <v>9.7592933355602831E-5</v>
          </cell>
          <cell r="J407">
            <v>5.6647725711174802E-6</v>
          </cell>
        </row>
        <row r="408">
          <cell r="B408" t="str">
            <v>HPLOIL</v>
          </cell>
          <cell r="C408" t="str">
            <v>VAR_fout</v>
          </cell>
          <cell r="D408" t="str">
            <v>CO2_E</v>
          </cell>
          <cell r="E408">
            <v>15.8777253760726</v>
          </cell>
          <cell r="F408">
            <v>16.031918583048</v>
          </cell>
          <cell r="G408">
            <v>4.5892422784973803</v>
          </cell>
          <cell r="H408">
            <v>4.6228136046263</v>
          </cell>
          <cell r="I408">
            <v>8.4177623102157893E-3</v>
          </cell>
          <cell r="J408">
            <v>4.8860821583614504E-4</v>
          </cell>
        </row>
        <row r="409">
          <cell r="B409" t="str">
            <v>HPLOIL</v>
          </cell>
          <cell r="C409" t="str">
            <v>VAR_fin</v>
          </cell>
          <cell r="D409" t="str">
            <v>ELFO</v>
          </cell>
          <cell r="E409">
            <v>0.21543725069298</v>
          </cell>
          <cell r="F409">
            <v>0.21752942446469489</v>
          </cell>
          <cell r="G409">
            <v>6.2269230373098727E-2</v>
          </cell>
          <cell r="H409">
            <v>6.2724743617724565E-2</v>
          </cell>
          <cell r="I409">
            <v>1.1421658494186962E-4</v>
          </cell>
          <cell r="J409">
            <v>6.6296908525935572E-6</v>
          </cell>
        </row>
        <row r="410">
          <cell r="B410" t="str">
            <v>HPLOIL</v>
          </cell>
          <cell r="C410" t="str">
            <v>VAR_ncap</v>
          </cell>
          <cell r="D410" t="str">
            <v>-</v>
          </cell>
          <cell r="E410">
            <v>5.6420490328578601E-6</v>
          </cell>
          <cell r="F410">
            <v>4.4913989071798101E-6</v>
          </cell>
          <cell r="G410">
            <v>3.1837028247821102E-6</v>
          </cell>
          <cell r="H410">
            <v>5.0739648810610897E-6</v>
          </cell>
          <cell r="I410">
            <v>6.7368970393373899E-6</v>
          </cell>
          <cell r="J410">
            <v>4.8485150497357304E-6</v>
          </cell>
        </row>
        <row r="411">
          <cell r="B411" t="str">
            <v>HPLOIL</v>
          </cell>
          <cell r="C411" t="str">
            <v>VAR_cap</v>
          </cell>
          <cell r="D411" t="str">
            <v>-</v>
          </cell>
          <cell r="E411">
            <v>2.4151965628107661E-2</v>
          </cell>
          <cell r="F411">
            <v>2.3632502629036635E-2</v>
          </cell>
          <cell r="G411">
            <v>1.5141023361529424E-2</v>
          </cell>
          <cell r="H411">
            <v>6.8076819164893804E-3</v>
          </cell>
          <cell r="I411">
            <v>2.2651050526915095E-4</v>
          </cell>
          <cell r="J411">
            <v>1.7988756495637936E-4</v>
          </cell>
        </row>
        <row r="412">
          <cell r="B412" t="str">
            <v>V2G</v>
          </cell>
          <cell r="C412" t="str">
            <v>VAR_fout</v>
          </cell>
          <cell r="D412" t="str">
            <v>ELC35</v>
          </cell>
          <cell r="E412"/>
          <cell r="F412"/>
          <cell r="G412"/>
          <cell r="H412">
            <v>1.94611667195798E-2</v>
          </cell>
          <cell r="I412">
            <v>0.72584727529464521</v>
          </cell>
          <cell r="J412">
            <v>1.9635639087337717</v>
          </cell>
        </row>
        <row r="413">
          <cell r="B413" t="str">
            <v>V2G</v>
          </cell>
          <cell r="C413" t="str">
            <v>VAR_fin</v>
          </cell>
          <cell r="D413" t="str">
            <v>T-ELC-Bus_c_BatSTGout_S1</v>
          </cell>
          <cell r="E413"/>
          <cell r="F413"/>
          <cell r="G413"/>
          <cell r="H413">
            <v>6.84675649284299E-4</v>
          </cell>
          <cell r="I413">
            <v>2.5583005973489658E-3</v>
          </cell>
          <cell r="J413">
            <v>1.3655606637525037E-3</v>
          </cell>
        </row>
        <row r="414">
          <cell r="B414" t="str">
            <v>V2G</v>
          </cell>
          <cell r="C414" t="str">
            <v>VAR_fin</v>
          </cell>
          <cell r="D414" t="str">
            <v>T-ELC-Bus_c_BatSTGout_S2</v>
          </cell>
          <cell r="E414"/>
          <cell r="F414"/>
          <cell r="G414"/>
          <cell r="H414">
            <v>6.2347149999380526E-4</v>
          </cell>
          <cell r="I414">
            <v>2.7890599318652438E-3</v>
          </cell>
          <cell r="J414">
            <v>1.5051015540337128E-3</v>
          </cell>
        </row>
        <row r="415">
          <cell r="B415" t="str">
            <v>V2G</v>
          </cell>
          <cell r="C415" t="str">
            <v>VAR_fin</v>
          </cell>
          <cell r="D415" t="str">
            <v>T-ELC-Bus_c_BatSTGout_S3</v>
          </cell>
          <cell r="E415"/>
          <cell r="F415"/>
          <cell r="G415"/>
          <cell r="H415">
            <v>7.4577964968788326E-4</v>
          </cell>
          <cell r="I415">
            <v>1.5547119721824329E-3</v>
          </cell>
          <cell r="J415">
            <v>9.5917324908139235E-4</v>
          </cell>
        </row>
        <row r="416">
          <cell r="B416" t="str">
            <v>V2G</v>
          </cell>
          <cell r="C416" t="str">
            <v>VAR_fin</v>
          </cell>
          <cell r="D416" t="str">
            <v>T-ELC-Bus_c_BatSTGout_S4</v>
          </cell>
          <cell r="E416"/>
          <cell r="F416"/>
          <cell r="G416"/>
          <cell r="H416">
            <v>6.3955083602125805E-6</v>
          </cell>
          <cell r="I416">
            <v>1.5133156645032896E-4</v>
          </cell>
          <cell r="J416">
            <v>1.290081179251515E-4</v>
          </cell>
        </row>
        <row r="417">
          <cell r="B417" t="str">
            <v>V2G</v>
          </cell>
          <cell r="C417" t="str">
            <v>VAR_fin</v>
          </cell>
          <cell r="D417" t="str">
            <v>T-ELC-car-BatSTGOut_S1</v>
          </cell>
          <cell r="E417"/>
          <cell r="F417"/>
          <cell r="G417"/>
          <cell r="H417">
            <v>2.1515561225740804E-3</v>
          </cell>
          <cell r="I417">
            <v>0.27136284199881655</v>
          </cell>
          <cell r="J417">
            <v>0.73412058297753968</v>
          </cell>
        </row>
        <row r="418">
          <cell r="B418" t="str">
            <v>V2G</v>
          </cell>
          <cell r="C418" t="str">
            <v>VAR_fin</v>
          </cell>
          <cell r="D418" t="str">
            <v>T-ELC-car-BatSTGOut_S2</v>
          </cell>
          <cell r="E418"/>
          <cell r="F418"/>
          <cell r="G418"/>
          <cell r="H418">
            <v>1.4806479099775231E-3</v>
          </cell>
          <cell r="I418">
            <v>0.10095737784562038</v>
          </cell>
          <cell r="J418">
            <v>0.25160865977812674</v>
          </cell>
        </row>
        <row r="419">
          <cell r="B419" t="str">
            <v>V2G</v>
          </cell>
          <cell r="C419" t="str">
            <v>VAR_fin</v>
          </cell>
          <cell r="D419" t="str">
            <v>T-ELC-car-BatSTGOut_S3</v>
          </cell>
          <cell r="E419"/>
          <cell r="F419"/>
          <cell r="G419"/>
          <cell r="H419">
            <v>2.5855458832553671E-3</v>
          </cell>
          <cell r="I419">
            <v>9.6193011815867535E-2</v>
          </cell>
          <cell r="J419">
            <v>0.24132088021572307</v>
          </cell>
        </row>
        <row r="420">
          <cell r="B420" t="str">
            <v>V2G</v>
          </cell>
          <cell r="C420" t="str">
            <v>VAR_fin</v>
          </cell>
          <cell r="D420" t="str">
            <v>T-ELC-car-BatSTGOut_S4</v>
          </cell>
          <cell r="E420"/>
          <cell r="F420"/>
          <cell r="G420"/>
          <cell r="H420">
            <v>1.4184382540362288E-3</v>
          </cell>
          <cell r="I420">
            <v>0.10505219937961813</v>
          </cell>
          <cell r="J420">
            <v>0.24661909762006926</v>
          </cell>
        </row>
        <row r="421">
          <cell r="B421" t="str">
            <v>V2G</v>
          </cell>
          <cell r="C421" t="str">
            <v>VAR_fin</v>
          </cell>
          <cell r="D421" t="str">
            <v>T-ELC-car-PlgSTGOut_S1</v>
          </cell>
          <cell r="E421"/>
          <cell r="F421"/>
          <cell r="G421"/>
          <cell r="H421">
            <v>2.6889061198240522E-4</v>
          </cell>
          <cell r="I421">
            <v>4.7369473017476287E-4</v>
          </cell>
          <cell r="J421">
            <v>1.9372019037605166E-4</v>
          </cell>
        </row>
        <row r="422">
          <cell r="B422" t="str">
            <v>V2G</v>
          </cell>
          <cell r="C422" t="str">
            <v>VAR_fin</v>
          </cell>
          <cell r="D422" t="str">
            <v>T-ELC-car-PlgSTGOut_S2</v>
          </cell>
          <cell r="E422"/>
          <cell r="F422"/>
          <cell r="G422"/>
          <cell r="H422">
            <v>1.1938601507127768E-4</v>
          </cell>
          <cell r="I422">
            <v>9.0088462496748056E-4</v>
          </cell>
          <cell r="J422">
            <v>1.0095224718493776E-3</v>
          </cell>
        </row>
        <row r="423">
          <cell r="B423" t="str">
            <v>V2G</v>
          </cell>
          <cell r="C423" t="str">
            <v>VAR_fin</v>
          </cell>
          <cell r="D423" t="str">
            <v>T-ELC-car-PlgSTGOut_S3</v>
          </cell>
          <cell r="E423"/>
          <cell r="F423"/>
          <cell r="G423"/>
          <cell r="H423">
            <v>1.333172595616044E-3</v>
          </cell>
          <cell r="I423">
            <v>0.10645708160495018</v>
          </cell>
          <cell r="J423">
            <v>0.45648605973497991</v>
          </cell>
        </row>
        <row r="424">
          <cell r="B424" t="str">
            <v>V2G</v>
          </cell>
          <cell r="C424" t="str">
            <v>VAR_fin</v>
          </cell>
          <cell r="D424" t="str">
            <v>T-ELC-TWSTGout_S1</v>
          </cell>
          <cell r="E424"/>
          <cell r="F424"/>
          <cell r="G424"/>
          <cell r="H424">
            <v>1.1888974310730212E-3</v>
          </cell>
          <cell r="I424">
            <v>1.7081556031213543E-3</v>
          </cell>
          <cell r="J424">
            <v>5.4497410951282073E-4</v>
          </cell>
        </row>
        <row r="425">
          <cell r="B425" t="str">
            <v>V2G</v>
          </cell>
          <cell r="C425" t="str">
            <v>VAR_fin</v>
          </cell>
          <cell r="D425" t="str">
            <v>T-ELC-car-PlgSTGOut_S4</v>
          </cell>
          <cell r="E425"/>
          <cell r="F425"/>
          <cell r="G425"/>
          <cell r="H425">
            <v>8.4565182093971819E-5</v>
          </cell>
          <cell r="I425">
            <v>3.1005888830757458E-3</v>
          </cell>
          <cell r="J425">
            <v>3.7946272265571978E-4</v>
          </cell>
        </row>
        <row r="426">
          <cell r="B426" t="str">
            <v>V2G</v>
          </cell>
          <cell r="C426" t="str">
            <v>VAR_fin</v>
          </cell>
          <cell r="D426" t="str">
            <v>T-ELC-TWSTGout_S2</v>
          </cell>
          <cell r="E426"/>
          <cell r="F426"/>
          <cell r="G426"/>
          <cell r="H426">
            <v>1.6745761456088933E-3</v>
          </cell>
          <cell r="I426">
            <v>2.2926856210504637E-3</v>
          </cell>
          <cell r="J426">
            <v>1.7558867728383542E-3</v>
          </cell>
        </row>
        <row r="427">
          <cell r="B427" t="str">
            <v>V2G</v>
          </cell>
          <cell r="C427" t="str">
            <v>VAR_fin</v>
          </cell>
          <cell r="D427" t="str">
            <v>T-ELC-TWSTGout_S3</v>
          </cell>
          <cell r="E427"/>
          <cell r="F427"/>
          <cell r="G427"/>
          <cell r="H427">
            <v>2.0635475878297157E-3</v>
          </cell>
          <cell r="I427">
            <v>4.1335630389581074E-3</v>
          </cell>
          <cell r="J427">
            <v>2.6318444590816051E-3</v>
          </cell>
        </row>
        <row r="428">
          <cell r="B428" t="str">
            <v>V2G</v>
          </cell>
          <cell r="C428" t="str">
            <v>VAR_fin</v>
          </cell>
          <cell r="D428" t="str">
            <v>T-ELC-TWSTGout_S4</v>
          </cell>
          <cell r="E428"/>
          <cell r="F428"/>
          <cell r="G428"/>
          <cell r="H428">
            <v>2.1662585663650646E-3</v>
          </cell>
          <cell r="I428">
            <v>4.6641899221321727E-3</v>
          </cell>
          <cell r="J428">
            <v>4.1248215922393893E-3</v>
          </cell>
        </row>
        <row r="429">
          <cell r="B429" t="str">
            <v>V2G</v>
          </cell>
          <cell r="C429" t="str">
            <v>VAR_fin</v>
          </cell>
          <cell r="D429" t="str">
            <v>T-ELC-Bus_u_BatSTGout_S1</v>
          </cell>
          <cell r="E429"/>
          <cell r="F429"/>
          <cell r="H429">
            <v>7.6547544446946142E-5</v>
          </cell>
          <cell r="I429">
            <v>9.7409853353334002E-5</v>
          </cell>
          <cell r="J429">
            <v>8.3756688493127055E-5</v>
          </cell>
        </row>
        <row r="430">
          <cell r="B430" t="str">
            <v>V2G</v>
          </cell>
          <cell r="C430" t="str">
            <v>VAR_fin</v>
          </cell>
          <cell r="D430" t="str">
            <v>T-ELC-Bus_u_BatSTGout_S2</v>
          </cell>
          <cell r="E430"/>
          <cell r="F430"/>
          <cell r="H430">
            <v>6.3842240883978931E-5</v>
          </cell>
          <cell r="I430">
            <v>8.5347910547495416E-5</v>
          </cell>
          <cell r="J430">
            <v>7.5252820804717682E-5</v>
          </cell>
        </row>
        <row r="431">
          <cell r="B431" t="str">
            <v>V2G</v>
          </cell>
          <cell r="C431" t="str">
            <v>VAR_fin</v>
          </cell>
          <cell r="D431" t="str">
            <v>T-ELC-Bus_u_BatSTGout_S3</v>
          </cell>
          <cell r="E431"/>
          <cell r="F431"/>
          <cell r="H431">
            <v>3.2920478735314307E-5</v>
          </cell>
          <cell r="I431">
            <v>4.239346037872156E-5</v>
          </cell>
          <cell r="J431">
            <v>4.0023314427119357E-5</v>
          </cell>
        </row>
        <row r="432">
          <cell r="B432" t="str">
            <v>V2G</v>
          </cell>
          <cell r="C432" t="str">
            <v>VAR_fin</v>
          </cell>
          <cell r="D432" t="str">
            <v>T-ELC-Bus_u_BatSTGout_S4</v>
          </cell>
          <cell r="E432"/>
          <cell r="F432"/>
          <cell r="H432">
            <v>7.6587266435646783E-5</v>
          </cell>
          <cell r="I432">
            <v>1.2156961302638326E-4</v>
          </cell>
          <cell r="J432">
            <v>8.7327343004340845E-5</v>
          </cell>
        </row>
        <row r="433">
          <cell r="B433" t="str">
            <v>V2G</v>
          </cell>
          <cell r="C433" t="str">
            <v>VAR_fin</v>
          </cell>
          <cell r="D433" t="str">
            <v>T-ELC-LGV_BatSTGout</v>
          </cell>
          <cell r="E433"/>
          <cell r="F433"/>
          <cell r="H433">
            <v>3.5523168839749993E-4</v>
          </cell>
          <cell r="I433">
            <v>2.7926454085553743E-4</v>
          </cell>
          <cell r="J433">
            <v>2.0571735925896568E-4</v>
          </cell>
        </row>
        <row r="434">
          <cell r="B434" t="str">
            <v>V2G</v>
          </cell>
          <cell r="C434" t="str">
            <v>VAR_fin</v>
          </cell>
          <cell r="D434" t="str">
            <v>T-ELC-HGV_BatSTGout</v>
          </cell>
          <cell r="E434"/>
          <cell r="F434"/>
          <cell r="H434">
            <v>3.533440987051832E-4</v>
          </cell>
          <cell r="I434">
            <v>2.0959498607858191E-2</v>
          </cell>
          <cell r="J434">
            <v>1.8386354108201428E-2</v>
          </cell>
        </row>
        <row r="435">
          <cell r="B435" t="str">
            <v>V2G</v>
          </cell>
          <cell r="C435" t="str">
            <v>VAR_ncap</v>
          </cell>
          <cell r="D435" t="str">
            <v>-</v>
          </cell>
          <cell r="E435"/>
          <cell r="F435"/>
          <cell r="H435">
            <v>2.4513462344552799E-3</v>
          </cell>
          <cell r="I435">
            <v>1.36430987501638</v>
          </cell>
          <cell r="J435">
            <v>3.0942886745259401</v>
          </cell>
        </row>
        <row r="436">
          <cell r="B436" t="str">
            <v>V2G</v>
          </cell>
          <cell r="C436" t="str">
            <v>VAR_cap</v>
          </cell>
          <cell r="D436" t="str">
            <v>-</v>
          </cell>
          <cell r="E436"/>
          <cell r="F436"/>
          <cell r="G436"/>
          <cell r="H436">
            <v>2.4513462344552799E-3</v>
          </cell>
          <cell r="I436">
            <v>1.9023713696097502</v>
          </cell>
          <cell r="J436">
            <v>4.3113030312996043</v>
          </cell>
        </row>
        <row r="437">
          <cell r="B437" t="str">
            <v>D-EBIO</v>
          </cell>
          <cell r="C437" t="str">
            <v>VAR_fout</v>
          </cell>
          <cell r="D437" t="str">
            <v>EBIO</v>
          </cell>
          <cell r="E437">
            <v>1.1839727961330333</v>
          </cell>
          <cell r="F437">
            <v>1.1839518197429977</v>
          </cell>
          <cell r="G437">
            <v>1.1839527128335365</v>
          </cell>
          <cell r="H437">
            <v>1.1839533543253378</v>
          </cell>
          <cell r="I437">
            <v>1.2994863865248261</v>
          </cell>
          <cell r="J437">
            <v>1.2994753572381414</v>
          </cell>
        </row>
        <row r="438">
          <cell r="B438" t="str">
            <v>D-EBIO</v>
          </cell>
          <cell r="C438" t="str">
            <v>VAR_fin</v>
          </cell>
          <cell r="D438" t="str">
            <v>BIO</v>
          </cell>
          <cell r="E438">
            <v>1.1839727961330333</v>
          </cell>
          <cell r="F438">
            <v>1.1839518197429977</v>
          </cell>
          <cell r="G438">
            <v>1.1839527128335365</v>
          </cell>
          <cell r="H438">
            <v>1.1839533543253378</v>
          </cell>
          <cell r="I438">
            <v>1.2994863865248261</v>
          </cell>
          <cell r="J438">
            <v>1.2994753572381414</v>
          </cell>
        </row>
        <row r="439">
          <cell r="B439" t="str">
            <v>G-INTC3</v>
          </cell>
          <cell r="C439" t="str">
            <v>VAR_fout</v>
          </cell>
          <cell r="D439" t="str">
            <v>ELC35</v>
          </cell>
          <cell r="E439">
            <v>142.87873882401988</v>
          </cell>
          <cell r="F439">
            <v>105.42910579239914</v>
          </cell>
          <cell r="G439">
            <v>98.083440356208456</v>
          </cell>
          <cell r="H439">
            <v>134.80905285351218</v>
          </cell>
          <cell r="I439">
            <v>136.83836140743495</v>
          </cell>
          <cell r="J439">
            <v>108.47030716177407</v>
          </cell>
        </row>
        <row r="440">
          <cell r="B440" t="str">
            <v>G-INTC3</v>
          </cell>
          <cell r="C440" t="str">
            <v>VAR_fout</v>
          </cell>
          <cell r="D440" t="str">
            <v>ELC3</v>
          </cell>
          <cell r="E440">
            <v>32.814628553622072</v>
          </cell>
          <cell r="F440">
            <v>69.648102419084836</v>
          </cell>
          <cell r="G440">
            <v>67.628058676890959</v>
          </cell>
          <cell r="H440">
            <v>40.640369831790075</v>
          </cell>
          <cell r="I440">
            <v>29.555901527900723</v>
          </cell>
          <cell r="J440">
            <v>25.328872152620896</v>
          </cell>
        </row>
        <row r="441">
          <cell r="B441" t="str">
            <v>G-INTC3</v>
          </cell>
          <cell r="C441" t="str">
            <v>VAR_fout</v>
          </cell>
          <cell r="D441" t="str">
            <v>ELC</v>
          </cell>
          <cell r="E441">
            <v>1.2343553795294185E-2</v>
          </cell>
          <cell r="F441">
            <v>1.3373171872190996E-3</v>
          </cell>
          <cell r="G441">
            <v>2.4109262621943538E-3</v>
          </cell>
          <cell r="H441">
            <v>7.7146539213518374E-4</v>
          </cell>
          <cell r="I441">
            <v>5.9923961994430952E-2</v>
          </cell>
          <cell r="J441">
            <v>1.2538951326609253</v>
          </cell>
        </row>
        <row r="442">
          <cell r="B442" t="str">
            <v>G-INTC3</v>
          </cell>
          <cell r="C442" t="str">
            <v>VAR_fin</v>
          </cell>
          <cell r="D442" t="str">
            <v>ELC13</v>
          </cell>
          <cell r="E442">
            <v>179.38653093248485</v>
          </cell>
          <cell r="F442">
            <v>183.32947885008866</v>
          </cell>
          <cell r="G442">
            <v>172.95333710294196</v>
          </cell>
          <cell r="H442">
            <v>182.11761195816922</v>
          </cell>
          <cell r="I442">
            <v>170.91786756094146</v>
          </cell>
          <cell r="J442">
            <v>137.19630399893799</v>
          </cell>
        </row>
        <row r="443">
          <cell r="B443" t="str">
            <v>G-INTC3</v>
          </cell>
          <cell r="C443" t="str">
            <v>VAR_ncap</v>
          </cell>
          <cell r="D443" t="str">
            <v>-</v>
          </cell>
          <cell r="E443">
            <v>7.3460620163891197E-8</v>
          </cell>
          <cell r="F443">
            <v>7.6608752865966299E-8</v>
          </cell>
          <cell r="G443">
            <v>8.6926941883803196E-8</v>
          </cell>
          <cell r="H443">
            <v>1.1024304828455E-7</v>
          </cell>
          <cell r="I443">
            <v>2.2476255718755601E-7</v>
          </cell>
          <cell r="J443">
            <v>7.0357345374855496E-7</v>
          </cell>
        </row>
        <row r="444">
          <cell r="B444" t="str">
            <v>G-INTC3</v>
          </cell>
          <cell r="C444" t="str">
            <v>VAR_cap</v>
          </cell>
          <cell r="D444" t="str">
            <v>-</v>
          </cell>
          <cell r="E444">
            <v>13.914190167241101</v>
          </cell>
          <cell r="F444">
            <v>13.914190167241101</v>
          </cell>
          <cell r="G444">
            <v>13.914190167241101</v>
          </cell>
          <cell r="H444">
            <v>13.914190238876897</v>
          </cell>
          <cell r="I444">
            <v>13.914190514480463</v>
          </cell>
          <cell r="J444">
            <v>13.91419095450463</v>
          </cell>
        </row>
        <row r="445">
          <cell r="B445" t="str">
            <v>HPLBIO</v>
          </cell>
          <cell r="C445" t="str">
            <v>VAR_fout</v>
          </cell>
          <cell r="D445" t="str">
            <v>LTH</v>
          </cell>
          <cell r="E445">
            <v>0.90179165912982751</v>
          </cell>
          <cell r="F445">
            <v>0.90177568212965153</v>
          </cell>
          <cell r="G445">
            <v>0.90177636236622616</v>
          </cell>
          <cell r="H445">
            <v>0.90177685096863147</v>
          </cell>
          <cell r="I445">
            <v>0.98977441740914351</v>
          </cell>
          <cell r="J445">
            <v>0.9897660167780048</v>
          </cell>
        </row>
        <row r="446">
          <cell r="B446" t="str">
            <v>HPLBIO</v>
          </cell>
          <cell r="C446" t="str">
            <v>VAR_fin</v>
          </cell>
          <cell r="D446" t="str">
            <v>EBIO</v>
          </cell>
          <cell r="E446">
            <v>1.1839727961330333</v>
          </cell>
          <cell r="F446">
            <v>1.1839518197429977</v>
          </cell>
          <cell r="G446">
            <v>1.1839527128335365</v>
          </cell>
          <cell r="H446">
            <v>1.1839533543253378</v>
          </cell>
          <cell r="I446">
            <v>1.2994863865248261</v>
          </cell>
          <cell r="J446">
            <v>1.2994753572381414</v>
          </cell>
        </row>
        <row r="447">
          <cell r="B447" t="str">
            <v>HPLBIO</v>
          </cell>
          <cell r="C447" t="str">
            <v>VAR_ncap</v>
          </cell>
          <cell r="D447" t="str">
            <v>-</v>
          </cell>
          <cell r="E447">
            <v>9.69562899648357E-6</v>
          </cell>
          <cell r="F447">
            <v>6.62241880234652E-6</v>
          </cell>
          <cell r="G447">
            <v>5.1712897563625899E-6</v>
          </cell>
          <cell r="H447">
            <v>6.2916624757019299E-2</v>
          </cell>
          <cell r="I447">
            <v>3.0095058768729899E-5</v>
          </cell>
          <cell r="J447">
            <v>6.6084961208538698E-2</v>
          </cell>
        </row>
        <row r="448">
          <cell r="B448" t="str">
            <v>HPLBIO</v>
          </cell>
          <cell r="C448" t="str">
            <v>VAR_cap</v>
          </cell>
          <cell r="D448" t="str">
            <v>-</v>
          </cell>
          <cell r="E448">
            <v>0.11438839440611327</v>
          </cell>
          <cell r="F448">
            <v>0.11439178802016474</v>
          </cell>
          <cell r="G448">
            <v>0.11439452154129495</v>
          </cell>
          <cell r="H448">
            <v>0.11438081737309341</v>
          </cell>
          <cell r="I448">
            <v>0.12556193082955094</v>
          </cell>
          <cell r="J448">
            <v>0.13236478526810536</v>
          </cell>
        </row>
        <row r="449">
          <cell r="B449" t="str">
            <v>G-INTC5</v>
          </cell>
          <cell r="C449" t="str">
            <v>VAR_fout</v>
          </cell>
          <cell r="D449" t="str">
            <v>ELC5</v>
          </cell>
          <cell r="E449">
            <v>257.72625976677773</v>
          </cell>
          <cell r="F449">
            <v>120.01612821270268</v>
          </cell>
          <cell r="G449">
            <v>112.00013956450191</v>
          </cell>
          <cell r="H449">
            <v>150.31383365085176</v>
          </cell>
          <cell r="I449">
            <v>150.62946772914259</v>
          </cell>
          <cell r="J449">
            <v>134.83910636975276</v>
          </cell>
        </row>
        <row r="450">
          <cell r="B450" t="str">
            <v>G-INTC5</v>
          </cell>
          <cell r="C450" t="str">
            <v>VAR_fout</v>
          </cell>
          <cell r="D450" t="str">
            <v>ELC13</v>
          </cell>
          <cell r="E450">
            <v>5.1335307888207157E-2</v>
          </cell>
          <cell r="F450">
            <v>1.1626636136449473E-3</v>
          </cell>
          <cell r="G450">
            <v>2.3688232795743254E-3</v>
          </cell>
          <cell r="H450">
            <v>6.5398296220180944E-4</v>
          </cell>
          <cell r="I450">
            <v>8.8488621230883554E-4</v>
          </cell>
          <cell r="J450">
            <v>0.38715714851254818</v>
          </cell>
        </row>
        <row r="451">
          <cell r="B451" t="str">
            <v>G-INTC5</v>
          </cell>
          <cell r="C451" t="str">
            <v>VAR_fin</v>
          </cell>
          <cell r="D451" t="str">
            <v>ELC35</v>
          </cell>
          <cell r="E451">
            <v>265.91918014363341</v>
          </cell>
          <cell r="F451">
            <v>125.69328605761805</v>
          </cell>
          <cell r="G451">
            <v>117.04482710586099</v>
          </cell>
          <cell r="H451">
            <v>156.51534218512671</v>
          </cell>
          <cell r="I451">
            <v>155.7215155858575</v>
          </cell>
          <cell r="J451">
            <v>138.80320234921254</v>
          </cell>
        </row>
        <row r="452">
          <cell r="B452" t="str">
            <v>G-INTC5</v>
          </cell>
          <cell r="C452" t="str">
            <v>VAR_ncap</v>
          </cell>
          <cell r="D452" t="str">
            <v>-</v>
          </cell>
          <cell r="E452">
            <v>3.2372045559232601E-7</v>
          </cell>
          <cell r="F452">
            <v>3.7643032090110201E-7</v>
          </cell>
          <cell r="G452">
            <v>4.8251284969704698E-7</v>
          </cell>
          <cell r="H452">
            <v>4.6533237361639602E-7</v>
          </cell>
          <cell r="I452">
            <v>6.4763855499462096E-7</v>
          </cell>
          <cell r="J452">
            <v>1.9889063514015902E-6</v>
          </cell>
        </row>
        <row r="453">
          <cell r="B453" t="str">
            <v>G-INTC5</v>
          </cell>
          <cell r="C453" t="str">
            <v>VAR_cap</v>
          </cell>
          <cell r="D453" t="str">
            <v>-</v>
          </cell>
          <cell r="E453">
            <v>12.649263788401001</v>
          </cell>
          <cell r="F453">
            <v>12.649263788401001</v>
          </cell>
          <cell r="G453">
            <v>12.649263788401001</v>
          </cell>
          <cell r="H453">
            <v>12.649264119906256</v>
          </cell>
          <cell r="I453">
            <v>12.649265436397</v>
          </cell>
          <cell r="J453">
            <v>12.649266699241373</v>
          </cell>
        </row>
        <row r="454">
          <cell r="B454" t="str">
            <v>D-SLFO</v>
          </cell>
          <cell r="C454" t="str">
            <v>VAR_fout</v>
          </cell>
          <cell r="D454" t="str">
            <v>CO2</v>
          </cell>
          <cell r="E454">
            <v>2267.7888139432998</v>
          </cell>
          <cell r="F454">
            <v>2007.503114822</v>
          </cell>
          <cell r="G454">
            <v>1834.5721314683201</v>
          </cell>
          <cell r="H454">
            <v>955.88575200966795</v>
          </cell>
          <cell r="I454">
            <v>252.85870209132</v>
          </cell>
          <cell r="J454">
            <v>4.4756523642558601E-4</v>
          </cell>
        </row>
        <row r="455">
          <cell r="B455" t="str">
            <v>D-SLFO</v>
          </cell>
          <cell r="C455" t="str">
            <v>VAR_fout</v>
          </cell>
          <cell r="D455" t="str">
            <v>SLFO</v>
          </cell>
          <cell r="E455">
            <v>30.256636334867888</v>
          </cell>
          <cell r="F455">
            <v>26.783927724145961</v>
          </cell>
          <cell r="G455">
            <v>24.476735960270798</v>
          </cell>
          <cell r="H455">
            <v>12.753616868087873</v>
          </cell>
          <cell r="I455">
            <v>3.3738708703808893</v>
          </cell>
          <cell r="J455">
            <v>8.4976441279224532E-2</v>
          </cell>
        </row>
        <row r="456">
          <cell r="B456" t="str">
            <v>D-SLFO</v>
          </cell>
          <cell r="C456" t="str">
            <v>VAR_fin</v>
          </cell>
          <cell r="D456" t="str">
            <v>LFO</v>
          </cell>
          <cell r="E456">
            <v>30.770540216326914</v>
          </cell>
          <cell r="F456">
            <v>27.238848233677107</v>
          </cell>
          <cell r="G456">
            <v>24.892430549095188</v>
          </cell>
          <cell r="H456">
            <v>12.969955929574866</v>
          </cell>
          <cell r="I456">
            <v>3.4309186172499353</v>
          </cell>
          <cell r="J456">
            <v>6.0727983232779611E-6</v>
          </cell>
        </row>
        <row r="457">
          <cell r="B457" t="str">
            <v>D-SLFO</v>
          </cell>
          <cell r="C457" t="str">
            <v>VAR_fin</v>
          </cell>
          <cell r="D457" t="str">
            <v>BDS</v>
          </cell>
          <cell r="G457">
            <v>3.8291422765374523E-5</v>
          </cell>
          <cell r="H457">
            <v>2.8025771105447388E-4</v>
          </cell>
          <cell r="I457">
            <v>2.6046530197980459E-4</v>
          </cell>
          <cell r="J457">
            <v>8.6416608730044572E-2</v>
          </cell>
        </row>
        <row r="458">
          <cell r="B458" t="str">
            <v>D-RCOA</v>
          </cell>
          <cell r="C458" t="str">
            <v>VAR_fout</v>
          </cell>
          <cell r="D458" t="str">
            <v>CO2</v>
          </cell>
          <cell r="E458">
            <v>9.2704652073329701</v>
          </cell>
          <cell r="F458">
            <v>9.2702397763347104</v>
          </cell>
          <cell r="G458">
            <v>2.40310287792264</v>
          </cell>
          <cell r="H458">
            <v>4.3282398721534401E-2</v>
          </cell>
        </row>
        <row r="459">
          <cell r="B459" t="str">
            <v>D-RCOA</v>
          </cell>
          <cell r="C459" t="str">
            <v>VAR_fout</v>
          </cell>
          <cell r="D459" t="str">
            <v>RCOA</v>
          </cell>
          <cell r="E459">
            <v>0.10000501841783141</v>
          </cell>
          <cell r="F459">
            <v>0.10000258658397747</v>
          </cell>
          <cell r="G459">
            <v>2.5923439891290635E-2</v>
          </cell>
          <cell r="H459">
            <v>4.6690829257318604E-4</v>
          </cell>
        </row>
        <row r="460">
          <cell r="B460" t="str">
            <v>D-RCOA</v>
          </cell>
          <cell r="C460" t="str">
            <v>VAR_fin</v>
          </cell>
          <cell r="D460" t="str">
            <v>COA</v>
          </cell>
          <cell r="E460">
            <v>0.10000501841783141</v>
          </cell>
          <cell r="F460">
            <v>0.10000258658397747</v>
          </cell>
          <cell r="G460">
            <v>2.5923439891290635E-2</v>
          </cell>
          <cell r="H460">
            <v>4.6690829257318604E-4</v>
          </cell>
        </row>
        <row r="461">
          <cell r="B461" t="str">
            <v>EHYD-RUN00</v>
          </cell>
          <cell r="C461" t="str">
            <v>VAR_fout</v>
          </cell>
          <cell r="D461" t="str">
            <v>ELC13</v>
          </cell>
          <cell r="E461">
            <v>54.392403121861719</v>
          </cell>
          <cell r="F461">
            <v>43.518855518192815</v>
          </cell>
          <cell r="G461">
            <v>53.281871084620384</v>
          </cell>
          <cell r="H461">
            <v>52.18679648219846</v>
          </cell>
          <cell r="I461">
            <v>49.956527719858691</v>
          </cell>
          <cell r="J461">
            <v>47.771525512362125</v>
          </cell>
        </row>
        <row r="462">
          <cell r="B462" t="str">
            <v>EHYD-RUN00</v>
          </cell>
          <cell r="C462" t="str">
            <v>VAR_fin</v>
          </cell>
          <cell r="D462" t="str">
            <v>HYDR</v>
          </cell>
          <cell r="E462">
            <v>54.392403121861719</v>
          </cell>
          <cell r="F462">
            <v>43.518855518192815</v>
          </cell>
          <cell r="G462">
            <v>53.281871084620384</v>
          </cell>
          <cell r="H462">
            <v>52.18679648219846</v>
          </cell>
          <cell r="I462">
            <v>49.956527719858691</v>
          </cell>
          <cell r="J462">
            <v>47.771525512362125</v>
          </cell>
        </row>
        <row r="463">
          <cell r="B463" t="str">
            <v>EHYD-RUN00</v>
          </cell>
          <cell r="C463" t="str">
            <v>VAR_cap</v>
          </cell>
          <cell r="D463" t="str">
            <v>-</v>
          </cell>
          <cell r="E463">
            <v>3.86687</v>
          </cell>
          <cell r="F463">
            <v>3.9240852000672399</v>
          </cell>
          <cell r="G463">
            <v>3.9610124303882599</v>
          </cell>
          <cell r="H463">
            <v>3.9647700000000001</v>
          </cell>
          <cell r="I463">
            <v>3.9647700000000001</v>
          </cell>
          <cell r="J463">
            <v>3.9647700000000001</v>
          </cell>
        </row>
        <row r="464">
          <cell r="B464" t="str">
            <v>HPLELCHP</v>
          </cell>
          <cell r="C464" t="str">
            <v>VAR_fout</v>
          </cell>
          <cell r="D464" t="str">
            <v>LTH</v>
          </cell>
          <cell r="F464">
            <v>3.6167272228733092</v>
          </cell>
          <cell r="G464">
            <v>3.7263181604093121</v>
          </cell>
          <cell r="H464">
            <v>8.164557190329873</v>
          </cell>
          <cell r="I464">
            <v>9.0187512324581149</v>
          </cell>
          <cell r="J464">
            <v>9.9623111158729483</v>
          </cell>
        </row>
        <row r="465">
          <cell r="B465" t="str">
            <v>HPLELCHP</v>
          </cell>
          <cell r="C465" t="str">
            <v>VAR_fin</v>
          </cell>
          <cell r="D465" t="str">
            <v>ELC35</v>
          </cell>
          <cell r="F465">
            <v>1.2055757409577694</v>
          </cell>
          <cell r="G465">
            <v>1.2421060534697712</v>
          </cell>
          <cell r="H465">
            <v>2.7215190634432935</v>
          </cell>
          <cell r="I465">
            <v>3.0062504108193697</v>
          </cell>
          <cell r="J465">
            <v>3.3207703719576496</v>
          </cell>
        </row>
        <row r="466">
          <cell r="B466" t="str">
            <v>HPLELCHP</v>
          </cell>
          <cell r="C466" t="str">
            <v>VAR_fin</v>
          </cell>
          <cell r="D466" t="str">
            <v>WWTPCC</v>
          </cell>
          <cell r="F466">
            <v>7.2334544457466103</v>
          </cell>
          <cell r="G466">
            <v>7.4526363208186304</v>
          </cell>
          <cell r="H466">
            <v>16.329114380659799</v>
          </cell>
          <cell r="I466">
            <v>18.037502464916201</v>
          </cell>
          <cell r="J466">
            <v>19.9246222317459</v>
          </cell>
        </row>
        <row r="467">
          <cell r="B467" t="str">
            <v>HPLELCHP</v>
          </cell>
          <cell r="C467" t="str">
            <v>VAR_ncap</v>
          </cell>
          <cell r="D467" t="str">
            <v>-</v>
          </cell>
          <cell r="F467">
            <v>0.22273319615356199</v>
          </cell>
          <cell r="G467">
            <v>6.7503436189262998E-3</v>
          </cell>
          <cell r="H467">
            <v>0.27325873366861098</v>
          </cell>
          <cell r="I467">
            <v>0.143201691097807</v>
          </cell>
          <cell r="J467">
            <v>0.37987946548318102</v>
          </cell>
        </row>
        <row r="468">
          <cell r="B468" t="str">
            <v>HPLELCHP</v>
          </cell>
          <cell r="C468" t="str">
            <v>VAR_cap</v>
          </cell>
          <cell r="D468" t="str">
            <v>-</v>
          </cell>
          <cell r="F468">
            <v>0.22273319615356199</v>
          </cell>
          <cell r="G468">
            <v>0.22948338097061652</v>
          </cell>
          <cell r="H468">
            <v>0.50274182152068814</v>
          </cell>
          <cell r="I468">
            <v>0.56436297232936605</v>
          </cell>
          <cell r="J468">
            <v>0.61458869535760385</v>
          </cell>
        </row>
        <row r="469">
          <cell r="B469" t="str">
            <v>D-ITOT_LTH</v>
          </cell>
          <cell r="C469" t="str">
            <v>VAR_fout</v>
          </cell>
          <cell r="D469" t="str">
            <v>ITOT_LTH_DH</v>
          </cell>
          <cell r="E469">
            <v>7.1200090411603778</v>
          </cell>
          <cell r="F469">
            <v>7.6289079867003018</v>
          </cell>
          <cell r="G469">
            <v>7.3892713185646377</v>
          </cell>
          <cell r="H469">
            <v>7.5477919715634734</v>
          </cell>
          <cell r="I469">
            <v>6.3889816209550796</v>
          </cell>
          <cell r="J469">
            <v>7.9356651473046895</v>
          </cell>
        </row>
        <row r="470">
          <cell r="B470" t="str">
            <v>D-ITOT_LTH</v>
          </cell>
          <cell r="C470" t="str">
            <v>VAR_fin</v>
          </cell>
          <cell r="D470" t="str">
            <v>LTH</v>
          </cell>
          <cell r="E470">
            <v>7.7403455194214645</v>
          </cell>
          <cell r="F470">
            <v>8.2914030385250346</v>
          </cell>
          <cell r="G470">
            <v>8.027791599672728</v>
          </cell>
          <cell r="H470">
            <v>8.1946283118269303</v>
          </cell>
          <cell r="I470">
            <v>6.9274158785229805</v>
          </cell>
          <cell r="J470">
            <v>8.5931815304984003</v>
          </cell>
        </row>
        <row r="471">
          <cell r="B471" t="str">
            <v>D-ITOT_LTH</v>
          </cell>
          <cell r="C471" t="str">
            <v>VAR_ncap</v>
          </cell>
          <cell r="D471" t="str">
            <v>-</v>
          </cell>
          <cell r="E471">
            <v>0.79547237737015197</v>
          </cell>
          <cell r="F471">
            <v>2.54325574704712E-8</v>
          </cell>
          <cell r="G471">
            <v>2.8917693695337899E-8</v>
          </cell>
          <cell r="H471">
            <v>3.3109822458805699E-8</v>
          </cell>
          <cell r="I471">
            <v>6.1213975256294895E-8</v>
          </cell>
          <cell r="J471">
            <v>7.0228636901840905E-8</v>
          </cell>
        </row>
        <row r="472">
          <cell r="B472" t="str">
            <v>D-ITOT_LTH</v>
          </cell>
          <cell r="C472" t="str">
            <v>VAR_cap</v>
          </cell>
          <cell r="D472" t="str">
            <v>-</v>
          </cell>
          <cell r="E472">
            <v>0.79547237737015197</v>
          </cell>
          <cell r="F472">
            <v>0.79547240280271003</v>
          </cell>
          <cell r="G472">
            <v>0.79547243172040305</v>
          </cell>
          <cell r="H472">
            <v>0.79547246483022604</v>
          </cell>
          <cell r="I472">
            <v>0.79547257395191595</v>
          </cell>
          <cell r="J472">
            <v>0.79547264418055297</v>
          </cell>
        </row>
        <row r="473">
          <cell r="B473" t="str">
            <v>D-IH2</v>
          </cell>
          <cell r="C473" t="str">
            <v>VAR_fout</v>
          </cell>
          <cell r="D473" t="str">
            <v>IH2</v>
          </cell>
          <cell r="H473">
            <v>1.0052407913747822E-3</v>
          </cell>
          <cell r="I473">
            <v>0.6936725948724205</v>
          </cell>
          <cell r="J473">
            <v>12.114259026469737</v>
          </cell>
        </row>
        <row r="474">
          <cell r="B474" t="str">
            <v>D-IH2</v>
          </cell>
          <cell r="C474" t="str">
            <v>VAR_fin</v>
          </cell>
          <cell r="D474" t="str">
            <v>H2</v>
          </cell>
          <cell r="H474">
            <v>1.0128991057753514E-3</v>
          </cell>
          <cell r="I474">
            <v>0.69895726185785689</v>
          </cell>
          <cell r="J474">
            <v>12.206550152288219</v>
          </cell>
        </row>
        <row r="475">
          <cell r="B475" t="str">
            <v>D-IH2</v>
          </cell>
          <cell r="C475" t="str">
            <v>VAR_ncap</v>
          </cell>
          <cell r="D475" t="str">
            <v>-</v>
          </cell>
          <cell r="H475">
            <v>1.1856558811321E-4</v>
          </cell>
          <cell r="I475">
            <v>3.9958951353793702E-2</v>
          </cell>
          <cell r="J475">
            <v>0.40441372433768003</v>
          </cell>
        </row>
        <row r="476">
          <cell r="B476" t="str">
            <v>D-IH2</v>
          </cell>
          <cell r="C476" t="str">
            <v>VAR_cap</v>
          </cell>
          <cell r="D476" t="str">
            <v>-</v>
          </cell>
          <cell r="H476">
            <v>1.1856558811321E-4</v>
          </cell>
          <cell r="I476">
            <v>7.1902198664609202E-2</v>
          </cell>
          <cell r="J476">
            <v>0.47631592300228898</v>
          </cell>
        </row>
        <row r="477">
          <cell r="B477" t="str">
            <v>RHEM-ESOLPV</v>
          </cell>
          <cell r="C477" t="str">
            <v>VAR_fout</v>
          </cell>
          <cell r="D477" t="str">
            <v>RHEM_SOL_ELC</v>
          </cell>
          <cell r="E477">
            <v>0.86248322578584768</v>
          </cell>
          <cell r="F477">
            <v>1.2875825921991844</v>
          </cell>
          <cell r="G477">
            <v>1.7649289498129559</v>
          </cell>
          <cell r="H477">
            <v>1.9127635480734619</v>
          </cell>
          <cell r="I477">
            <v>2.1128891505394414</v>
          </cell>
          <cell r="J477">
            <v>2.3339460548537527</v>
          </cell>
        </row>
        <row r="478">
          <cell r="B478" t="str">
            <v>RHEM-ESOLPV</v>
          </cell>
          <cell r="C478" t="str">
            <v>VAR_fin</v>
          </cell>
          <cell r="D478" t="str">
            <v>SOL</v>
          </cell>
          <cell r="E478">
            <v>0.86248322578584768</v>
          </cell>
          <cell r="F478">
            <v>1.2875825921991844</v>
          </cell>
          <cell r="G478">
            <v>1.7649289498129559</v>
          </cell>
          <cell r="H478">
            <v>1.9127635480734619</v>
          </cell>
          <cell r="I478">
            <v>2.1128891505394414</v>
          </cell>
          <cell r="J478">
            <v>2.3339460548537527</v>
          </cell>
        </row>
        <row r="479">
          <cell r="B479" t="str">
            <v>RHEM-ESOLPV</v>
          </cell>
          <cell r="C479" t="str">
            <v>VAR_fin</v>
          </cell>
          <cell r="D479" t="str">
            <v>SOLPVC</v>
          </cell>
          <cell r="E479">
            <v>0.86248322578584802</v>
          </cell>
          <cell r="F479">
            <v>1.2875825921991899</v>
          </cell>
          <cell r="G479">
            <v>1.7649289498129599</v>
          </cell>
          <cell r="H479">
            <v>1.9127635480734599</v>
          </cell>
          <cell r="I479">
            <v>2.11288915053944</v>
          </cell>
          <cell r="J479">
            <v>2.3339460548537501</v>
          </cell>
        </row>
        <row r="480">
          <cell r="B480" t="str">
            <v>RHEM-ESOLPV</v>
          </cell>
          <cell r="C480" t="str">
            <v>VAR_ncap</v>
          </cell>
          <cell r="D480" t="str">
            <v>-</v>
          </cell>
          <cell r="G480">
            <v>7.9970546494014999E-2</v>
          </cell>
          <cell r="H480">
            <v>5.8212132269755498E-7</v>
          </cell>
          <cell r="I480">
            <v>0.254551022659745</v>
          </cell>
          <cell r="J480">
            <v>0.32536376504428</v>
          </cell>
        </row>
        <row r="481">
          <cell r="B481" t="str">
            <v>RHEM-ESOLPV</v>
          </cell>
          <cell r="C481" t="str">
            <v>VAR_cap</v>
          </cell>
          <cell r="D481" t="str">
            <v>-</v>
          </cell>
          <cell r="E481">
            <v>0.27424799999999999</v>
          </cell>
          <cell r="F481">
            <v>0.43894531747641302</v>
          </cell>
          <cell r="G481">
            <v>0.56311854649401505</v>
          </cell>
          <cell r="H481">
            <v>0.55139434087481975</v>
          </cell>
          <cell r="I481">
            <v>0.60908528234372894</v>
          </cell>
          <cell r="J481">
            <v>0.67280940281544699</v>
          </cell>
        </row>
        <row r="482">
          <cell r="B482" t="str">
            <v>HPLNUC</v>
          </cell>
          <cell r="C482" t="str">
            <v>VAR_fout</v>
          </cell>
          <cell r="D482" t="str">
            <v>LTH</v>
          </cell>
          <cell r="E482">
            <v>1.4500240724729587</v>
          </cell>
          <cell r="F482">
            <v>3.801915350951345</v>
          </cell>
          <cell r="G482">
            <v>3.8013930780159932</v>
          </cell>
          <cell r="H482">
            <v>1.0696420869957424</v>
          </cell>
        </row>
        <row r="483">
          <cell r="B483" t="str">
            <v>HPLNUC</v>
          </cell>
          <cell r="C483" t="str">
            <v>VAR_fin</v>
          </cell>
          <cell r="D483" t="str">
            <v>URN</v>
          </cell>
          <cell r="E483">
            <v>1.4500240724729587</v>
          </cell>
          <cell r="F483">
            <v>3.801915350951345</v>
          </cell>
          <cell r="G483">
            <v>3.8013930780159932</v>
          </cell>
          <cell r="H483">
            <v>1.0696420869957424</v>
          </cell>
        </row>
        <row r="484">
          <cell r="B484" t="str">
            <v>HPLNUC</v>
          </cell>
          <cell r="C484" t="str">
            <v>VAR_cap</v>
          </cell>
          <cell r="D484" t="str">
            <v>-</v>
          </cell>
          <cell r="E484">
            <v>0.120558721922211</v>
          </cell>
          <cell r="F484">
            <v>0.120558721922211</v>
          </cell>
          <cell r="G484">
            <v>0.120558721922211</v>
          </cell>
          <cell r="H484">
            <v>0.11197225056919</v>
          </cell>
          <cell r="I484">
            <v>1.56851844506808E-2</v>
          </cell>
        </row>
        <row r="485">
          <cell r="B485" t="str">
            <v>ITOT-CHPWODCCS</v>
          </cell>
          <cell r="C485" t="str">
            <v>VAR_fout</v>
          </cell>
          <cell r="D485" t="str">
            <v>CO2_O</v>
          </cell>
          <cell r="I485">
            <v>333.69104187860518</v>
          </cell>
          <cell r="J485">
            <v>704.11576877599407</v>
          </cell>
        </row>
        <row r="486">
          <cell r="B486" t="str">
            <v>ITOT-CHPWODCCS</v>
          </cell>
          <cell r="C486" t="str">
            <v>VAR_fout</v>
          </cell>
          <cell r="D486" t="str">
            <v>CO2</v>
          </cell>
          <cell r="I486">
            <v>-333.69104187860501</v>
          </cell>
          <cell r="J486">
            <v>-704.11576877599396</v>
          </cell>
        </row>
        <row r="487">
          <cell r="B487" t="str">
            <v>ITOT-CHPWODCCS</v>
          </cell>
          <cell r="C487" t="str">
            <v>VAR_fout</v>
          </cell>
          <cell r="D487" t="str">
            <v>ITOT_LTH_CHP</v>
          </cell>
          <cell r="I487">
            <v>2.3755035948996497</v>
          </cell>
          <cell r="J487">
            <v>5.2196380618604996</v>
          </cell>
        </row>
        <row r="488">
          <cell r="B488" t="str">
            <v>ITOT-CHPWODCCS</v>
          </cell>
          <cell r="C488" t="str">
            <v>VAR_fout</v>
          </cell>
          <cell r="D488" t="str">
            <v>ITOT_KEV_WOD_ELC_CHP</v>
          </cell>
          <cell r="I488">
            <v>1.1229653357707416</v>
          </cell>
          <cell r="J488">
            <v>2.4674652656067799</v>
          </cell>
        </row>
        <row r="489">
          <cell r="B489" t="str">
            <v>ITOT-CHPWODCCS</v>
          </cell>
          <cell r="C489" t="str">
            <v>VAR_fin</v>
          </cell>
          <cell r="D489" t="str">
            <v>IWOD</v>
          </cell>
          <cell r="I489">
            <v>3.3493701850760811</v>
          </cell>
          <cell r="J489">
            <v>7.069974570177803</v>
          </cell>
        </row>
        <row r="490">
          <cell r="B490" t="str">
            <v>ITOT-CHPWODCCS</v>
          </cell>
          <cell r="C490" t="str">
            <v>VAR_ncap</v>
          </cell>
          <cell r="D490" t="str">
            <v>-</v>
          </cell>
          <cell r="I490">
            <v>4.1521634053384701E-2</v>
          </cell>
          <cell r="J490">
            <v>6.1102000583810198E-2</v>
          </cell>
        </row>
        <row r="491">
          <cell r="B491" t="str">
            <v>ITOT-CHPWODCCS</v>
          </cell>
          <cell r="C491" t="str">
            <v>VAR_cap</v>
          </cell>
          <cell r="D491" t="str">
            <v>-</v>
          </cell>
          <cell r="I491">
            <v>4.1521634053384701E-2</v>
          </cell>
          <cell r="J491">
            <v>9.1235642382451701E-2</v>
          </cell>
        </row>
        <row r="492">
          <cell r="B492" t="str">
            <v>SUP_WODBIO</v>
          </cell>
          <cell r="C492" t="str">
            <v>VAR_fout</v>
          </cell>
          <cell r="D492" t="str">
            <v>ELC35</v>
          </cell>
          <cell r="G492">
            <v>1.3759211635750496E-6</v>
          </cell>
          <cell r="H492">
            <v>8.4387913570233318E-6</v>
          </cell>
          <cell r="I492">
            <v>8.0383927060198176E-6</v>
          </cell>
          <cell r="J492">
            <v>5.0033672780399193E-6</v>
          </cell>
        </row>
        <row r="493">
          <cell r="B493" t="str">
            <v>SUP_WODBIO</v>
          </cell>
          <cell r="C493" t="str">
            <v>VAR_fout</v>
          </cell>
          <cell r="D493" t="str">
            <v>BIO</v>
          </cell>
          <cell r="F493">
            <v>4.7023890904184532E-5</v>
          </cell>
          <cell r="G493">
            <v>7.3790583614058309E-5</v>
          </cell>
          <cell r="H493">
            <v>2.109697839255829E-4</v>
          </cell>
          <cell r="I493">
            <v>2.0095981765049507E-4</v>
          </cell>
          <cell r="J493">
            <v>1.4862618519196279E-4</v>
          </cell>
        </row>
        <row r="494">
          <cell r="B494" t="str">
            <v>SUP_WODBIO</v>
          </cell>
          <cell r="C494" t="str">
            <v>VAR_fout</v>
          </cell>
          <cell r="D494" t="str">
            <v>LTH</v>
          </cell>
          <cell r="F494">
            <v>5.6428669085021445E-6</v>
          </cell>
          <cell r="G494">
            <v>8.8548700336870121E-6</v>
          </cell>
          <cell r="H494">
            <v>2.5316374071069967E-5</v>
          </cell>
          <cell r="I494">
            <v>2.4115178118059427E-5</v>
          </cell>
          <cell r="J494">
            <v>1.7835142223035569E-5</v>
          </cell>
        </row>
        <row r="495">
          <cell r="B495" t="str">
            <v>SUP_WODBIO</v>
          </cell>
          <cell r="C495" t="str">
            <v>VAR_fin</v>
          </cell>
          <cell r="D495" t="str">
            <v>CWOD</v>
          </cell>
          <cell r="F495">
            <v>6.3482252720649135E-5</v>
          </cell>
          <cell r="G495">
            <v>9.9617287878978798E-5</v>
          </cell>
          <cell r="H495">
            <v>2.848092082995372E-4</v>
          </cell>
          <cell r="I495">
            <v>2.7129575382816841E-4</v>
          </cell>
          <cell r="J495">
            <v>2.0064535000914989E-4</v>
          </cell>
        </row>
        <row r="496">
          <cell r="B496" t="str">
            <v>SUP_WODBIO</v>
          </cell>
          <cell r="C496" t="str">
            <v>VAR_ncap</v>
          </cell>
          <cell r="D496" t="str">
            <v>-</v>
          </cell>
          <cell r="E496">
            <v>3.6102657523169799E-7</v>
          </cell>
          <cell r="F496">
            <v>1.43045292180839E-5</v>
          </cell>
          <cell r="G496">
            <v>8.7015715166617505E-7</v>
          </cell>
          <cell r="H496">
            <v>4.4752615869502899E-7</v>
          </cell>
          <cell r="I496">
            <v>2.8531282796427799E-6</v>
          </cell>
          <cell r="J496">
            <v>3.0356649644132898E-6</v>
          </cell>
        </row>
        <row r="497">
          <cell r="B497" t="str">
            <v>SUP_WODBIO</v>
          </cell>
          <cell r="C497" t="str">
            <v>VAR_cap</v>
          </cell>
          <cell r="D497" t="str">
            <v>-</v>
          </cell>
          <cell r="E497">
            <v>3.6102657523169799E-7</v>
          </cell>
          <cell r="F497">
            <v>1.4618062188397367E-5</v>
          </cell>
          <cell r="G497">
            <v>1.5409243785232572E-5</v>
          </cell>
          <cell r="H497">
            <v>1.5784018314784022E-5</v>
          </cell>
          <cell r="I497">
            <v>1.8341033076190386E-5</v>
          </cell>
          <cell r="J497">
            <v>1.1676855158490913E-5</v>
          </cell>
        </row>
        <row r="498">
          <cell r="B498" t="str">
            <v>D-RLFO</v>
          </cell>
          <cell r="C498" t="str">
            <v>VAR_fout</v>
          </cell>
          <cell r="D498" t="str">
            <v>CO2</v>
          </cell>
          <cell r="E498">
            <v>4514.4853319508002</v>
          </cell>
          <cell r="F498">
            <v>3846.5288058136298</v>
          </cell>
          <cell r="G498">
            <v>3594.2138592535298</v>
          </cell>
          <cell r="H498">
            <v>1675.18107709779</v>
          </cell>
          <cell r="I498">
            <v>351.57336913264498</v>
          </cell>
          <cell r="J498">
            <v>5.3902002405587196E-4</v>
          </cell>
        </row>
        <row r="499">
          <cell r="B499" t="str">
            <v>D-RLFO</v>
          </cell>
          <cell r="C499" t="str">
            <v>VAR_fout</v>
          </cell>
          <cell r="D499" t="str">
            <v>RLFO</v>
          </cell>
          <cell r="E499">
            <v>60.231861136319175</v>
          </cell>
          <cell r="F499">
            <v>51.320044667971771</v>
          </cell>
          <cell r="G499">
            <v>47.953718932338866</v>
          </cell>
          <cell r="H499">
            <v>22.350393777852872</v>
          </cell>
          <cell r="I499">
            <v>4.6909194192838219</v>
          </cell>
          <cell r="J499">
            <v>0.1710554507793545</v>
          </cell>
        </row>
        <row r="500">
          <cell r="B500" t="str">
            <v>D-RLFO</v>
          </cell>
          <cell r="C500" t="str">
            <v>VAR_fin</v>
          </cell>
          <cell r="D500" t="str">
            <v>LFO</v>
          </cell>
          <cell r="E500">
            <v>61.254889171652557</v>
          </cell>
          <cell r="F500">
            <v>52.191706998828103</v>
          </cell>
          <cell r="G500">
            <v>48.768166339939242</v>
          </cell>
          <cell r="H500">
            <v>22.729729675682325</v>
          </cell>
          <cell r="I500">
            <v>4.7703306530888057</v>
          </cell>
          <cell r="J500">
            <v>7.3137045326441252E-6</v>
          </cell>
        </row>
        <row r="501">
          <cell r="B501" t="str">
            <v>D-RLFO</v>
          </cell>
          <cell r="C501" t="str">
            <v>VAR_fin</v>
          </cell>
          <cell r="D501" t="str">
            <v>BDS</v>
          </cell>
          <cell r="G501">
            <v>3.846995769685002E-5</v>
          </cell>
          <cell r="H501">
            <v>2.8186750035060973E-4</v>
          </cell>
          <cell r="I501">
            <v>2.635859890147059E-4</v>
          </cell>
          <cell r="J501">
            <v>0.17395361996869857</v>
          </cell>
        </row>
        <row r="502">
          <cell r="B502" t="str">
            <v>G-INTC-EXP00-IT</v>
          </cell>
          <cell r="C502" t="str">
            <v>VAR_fout</v>
          </cell>
          <cell r="D502" t="str">
            <v>ELC_E-IT</v>
          </cell>
          <cell r="E502">
            <v>71.694114480289144</v>
          </cell>
          <cell r="F502">
            <v>35.389649241298493</v>
          </cell>
          <cell r="G502">
            <v>54.779034170106542</v>
          </cell>
          <cell r="H502">
            <v>55.708982487914447</v>
          </cell>
          <cell r="I502">
            <v>17.101515355831321</v>
          </cell>
          <cell r="J502">
            <v>15.773218763569432</v>
          </cell>
        </row>
        <row r="503">
          <cell r="B503" t="str">
            <v>G-INTC-EXP00-IT</v>
          </cell>
          <cell r="C503" t="str">
            <v>VAR_fin</v>
          </cell>
          <cell r="D503" t="str">
            <v>ELC</v>
          </cell>
          <cell r="E503">
            <v>71.694114480289144</v>
          </cell>
          <cell r="F503">
            <v>35.389649241298493</v>
          </cell>
          <cell r="G503">
            <v>54.779034170106542</v>
          </cell>
          <cell r="H503">
            <v>55.708982487914447</v>
          </cell>
          <cell r="I503">
            <v>17.101515355831321</v>
          </cell>
          <cell r="J503">
            <v>15.773218763569432</v>
          </cell>
        </row>
        <row r="504">
          <cell r="B504" t="str">
            <v>G-INTC-EXP00-IT</v>
          </cell>
          <cell r="C504" t="str">
            <v>VAR_ncap</v>
          </cell>
          <cell r="D504" t="str">
            <v>-</v>
          </cell>
          <cell r="E504">
            <v>6.3387922537959898E-7</v>
          </cell>
          <cell r="F504">
            <v>5.8717547404719502E-7</v>
          </cell>
          <cell r="G504">
            <v>6.2031882414758703E-7</v>
          </cell>
          <cell r="H504">
            <v>4.8919881043252005E-7</v>
          </cell>
          <cell r="I504">
            <v>6.4663826514580399E-7</v>
          </cell>
          <cell r="J504">
            <v>9.934750291003491E-7</v>
          </cell>
        </row>
        <row r="505">
          <cell r="B505" t="str">
            <v>G-INTC-EXP00-IT</v>
          </cell>
          <cell r="C505" t="str">
            <v>VAR_cap</v>
          </cell>
          <cell r="D505" t="str">
            <v>-</v>
          </cell>
          <cell r="E505">
            <v>3.749997270828942</v>
          </cell>
          <cell r="F505">
            <v>3.7499947758316421</v>
          </cell>
          <cell r="G505">
            <v>3.7499943920278684</v>
          </cell>
          <cell r="H505">
            <v>3.7499947433377394</v>
          </cell>
          <cell r="I505">
            <v>2.4000001191434439</v>
          </cell>
          <cell r="J505">
            <v>2.4000001622639311</v>
          </cell>
        </row>
        <row r="506">
          <cell r="B506" t="str">
            <v>EWOD-CCS</v>
          </cell>
          <cell r="C506" t="str">
            <v>VAR_fout</v>
          </cell>
          <cell r="D506" t="str">
            <v>CO2_O</v>
          </cell>
          <cell r="I506">
            <v>0.12680718719603007</v>
          </cell>
          <cell r="J506">
            <v>0.79355327957681798</v>
          </cell>
        </row>
        <row r="507">
          <cell r="B507" t="str">
            <v>EWOD-CCS</v>
          </cell>
          <cell r="C507" t="str">
            <v>VAR_fout</v>
          </cell>
          <cell r="D507" t="str">
            <v>CO2</v>
          </cell>
          <cell r="I507">
            <v>-0.12680718719603001</v>
          </cell>
          <cell r="J507">
            <v>-0.79355327957681798</v>
          </cell>
        </row>
        <row r="508">
          <cell r="B508" t="str">
            <v>EWOD-CCS</v>
          </cell>
          <cell r="C508" t="str">
            <v>VAR_fout</v>
          </cell>
          <cell r="D508" t="str">
            <v>ELC13</v>
          </cell>
          <cell r="I508">
            <v>2.8104826321518695E-4</v>
          </cell>
          <cell r="J508">
            <v>1.7587865161696641E-3</v>
          </cell>
        </row>
        <row r="509">
          <cell r="B509" t="str">
            <v>EWOD-CCS</v>
          </cell>
          <cell r="C509" t="str">
            <v>VAR_fin</v>
          </cell>
          <cell r="D509" t="str">
            <v>EWOD</v>
          </cell>
          <cell r="I509">
            <v>1.6635034375852907E-3</v>
          </cell>
          <cell r="J509">
            <v>6.7534989635039495E-3</v>
          </cell>
        </row>
        <row r="510">
          <cell r="B510" t="str">
            <v>EWOD-CCS</v>
          </cell>
          <cell r="C510" t="str">
            <v>VAR_ncap</v>
          </cell>
          <cell r="D510" t="str">
            <v>-</v>
          </cell>
          <cell r="I510">
            <v>8.3822495558912805E-5</v>
          </cell>
          <cell r="J510">
            <v>3.0909756907618302E-6</v>
          </cell>
        </row>
        <row r="511">
          <cell r="B511" t="str">
            <v>EWOD-CCS</v>
          </cell>
          <cell r="C511" t="str">
            <v>VAR_cap</v>
          </cell>
          <cell r="D511" t="str">
            <v>-</v>
          </cell>
          <cell r="I511">
            <v>4.0359609894881402E-5</v>
          </cell>
          <cell r="J511">
            <v>8.6085044066830127E-5</v>
          </cell>
        </row>
        <row r="512">
          <cell r="B512" t="str">
            <v>EOIL-ENG</v>
          </cell>
          <cell r="C512" t="str">
            <v>VAR_fout</v>
          </cell>
          <cell r="D512" t="str">
            <v>ELC35</v>
          </cell>
          <cell r="E512">
            <v>3.960320105929338E-2</v>
          </cell>
          <cell r="F512">
            <v>1.896500199839607E-5</v>
          </cell>
          <cell r="G512">
            <v>1.6302896276131833E-3</v>
          </cell>
          <cell r="H512">
            <v>2.1010068357868133E-4</v>
          </cell>
          <cell r="I512">
            <v>0.17115488500411999</v>
          </cell>
          <cell r="J512">
            <v>3.6655740251303954E-5</v>
          </cell>
        </row>
        <row r="513">
          <cell r="B513" t="str">
            <v>EOIL-ENG</v>
          </cell>
          <cell r="C513" t="str">
            <v>VAR_fout</v>
          </cell>
          <cell r="D513" t="str">
            <v>CO2_E</v>
          </cell>
          <cell r="E513">
            <v>8.6181843970662904</v>
          </cell>
          <cell r="F513">
            <v>3.6826179572732598E-2</v>
          </cell>
          <cell r="G513">
            <v>0.42134285892673201</v>
          </cell>
          <cell r="H513">
            <v>5.6528891852736199E-2</v>
          </cell>
          <cell r="I513">
            <v>36.044441393060197</v>
          </cell>
          <cell r="J513">
            <v>9.5019593443243597E-3</v>
          </cell>
        </row>
        <row r="514">
          <cell r="B514" t="str">
            <v>EOIL-ENG</v>
          </cell>
          <cell r="C514" t="str">
            <v>VAR_fin</v>
          </cell>
          <cell r="D514" t="str">
            <v>ELFO</v>
          </cell>
          <cell r="E514">
            <v>0.11693601624241899</v>
          </cell>
          <cell r="F514">
            <v>4.9967679203165034E-4</v>
          </cell>
          <cell r="G514">
            <v>5.7169994426964979E-3</v>
          </cell>
          <cell r="H514">
            <v>7.6701345797471109E-4</v>
          </cell>
          <cell r="I514">
            <v>0.48906976109986727</v>
          </cell>
          <cell r="J514">
            <v>1.2892753520114445E-4</v>
          </cell>
        </row>
        <row r="515">
          <cell r="B515" t="str">
            <v>EOIL-ENG</v>
          </cell>
          <cell r="C515" t="str">
            <v>VAR_ncap</v>
          </cell>
          <cell r="D515" t="str">
            <v>-</v>
          </cell>
          <cell r="F515">
            <v>3.5336098301416199E-6</v>
          </cell>
          <cell r="G515">
            <v>4.1853295757434102E-3</v>
          </cell>
          <cell r="H515">
            <v>2.09481532422672E-2</v>
          </cell>
          <cell r="I515">
            <v>1.42728957183407E-6</v>
          </cell>
          <cell r="J515">
            <v>9.9376901566855004E-7</v>
          </cell>
        </row>
        <row r="516">
          <cell r="B516" t="str">
            <v>EOIL-ENG</v>
          </cell>
          <cell r="C516" t="str">
            <v>VAR_cap</v>
          </cell>
          <cell r="D516" t="str">
            <v>-</v>
          </cell>
          <cell r="E516">
            <v>2.0441461062309804E-2</v>
          </cell>
          <cell r="F516">
            <v>2.0380169959146446E-2</v>
          </cell>
          <cell r="G516">
            <v>1.5756508680831449E-2</v>
          </cell>
          <cell r="H516">
            <v>3.2135848791960922E-2</v>
          </cell>
          <cell r="I516">
            <v>3.8161593098763415E-2</v>
          </cell>
          <cell r="J516">
            <v>1.9287355395307022E-3</v>
          </cell>
        </row>
        <row r="517">
          <cell r="B517" t="str">
            <v>D-SWOD</v>
          </cell>
          <cell r="C517" t="str">
            <v>VAR_fout</v>
          </cell>
          <cell r="D517" t="str">
            <v>SWOD</v>
          </cell>
          <cell r="E517">
            <v>8.5743723336926845</v>
          </cell>
          <cell r="F517">
            <v>9.5836203355680905</v>
          </cell>
          <cell r="G517">
            <v>11.447822870455386</v>
          </cell>
          <cell r="H517">
            <v>11.110141368044374</v>
          </cell>
          <cell r="I517">
            <v>8.5377630743704085</v>
          </cell>
          <cell r="J517">
            <v>5.5831866625690694</v>
          </cell>
        </row>
        <row r="518">
          <cell r="B518" t="str">
            <v>D-SWOD</v>
          </cell>
          <cell r="C518" t="str">
            <v>VAR_fin</v>
          </cell>
          <cell r="D518" t="str">
            <v>WOD</v>
          </cell>
          <cell r="E518">
            <v>8.5743723336926845</v>
          </cell>
          <cell r="F518">
            <v>9.5836203355680905</v>
          </cell>
          <cell r="G518">
            <v>11.447822870455386</v>
          </cell>
          <cell r="H518">
            <v>11.110141368044374</v>
          </cell>
          <cell r="I518">
            <v>8.5377630743704085</v>
          </cell>
          <cell r="J518">
            <v>5.5831866625690694</v>
          </cell>
        </row>
        <row r="519">
          <cell r="B519" t="str">
            <v>SCOM-CHPWOD</v>
          </cell>
          <cell r="C519" t="str">
            <v>VAR_fout</v>
          </cell>
          <cell r="D519" t="str">
            <v>SCOM_KEV_WOD_ELC_CHP</v>
          </cell>
          <cell r="H519">
            <v>3.3596991147660283E-4</v>
          </cell>
          <cell r="I519">
            <v>9.8166032061562853E-4</v>
          </cell>
          <cell r="J519">
            <v>2.2641421331273085E-4</v>
          </cell>
        </row>
        <row r="520">
          <cell r="B520" t="str">
            <v>SCOM-CHPWOD</v>
          </cell>
          <cell r="C520" t="str">
            <v>VAR_fout</v>
          </cell>
          <cell r="D520" t="str">
            <v>SCOM_LTH_CHPWOD</v>
          </cell>
          <cell r="H520">
            <v>5.3783958242715384E-4</v>
          </cell>
          <cell r="I520">
            <v>1.5020994630796816E-3</v>
          </cell>
          <cell r="J520">
            <v>3.3330492985917911E-4</v>
          </cell>
        </row>
        <row r="521">
          <cell r="B521" t="str">
            <v>SCOM-CHPWOD</v>
          </cell>
          <cell r="C521" t="str">
            <v>VAR_fin</v>
          </cell>
          <cell r="D521" t="str">
            <v>SWOD</v>
          </cell>
          <cell r="H521">
            <v>1.1608257494852051E-3</v>
          </cell>
          <cell r="I521">
            <v>3.3395958160634203E-3</v>
          </cell>
          <cell r="J521">
            <v>7.592276043242082E-4</v>
          </cell>
        </row>
        <row r="522">
          <cell r="B522" t="str">
            <v>SCOM-CHPWOD</v>
          </cell>
          <cell r="C522" t="str">
            <v>VAR_ncap</v>
          </cell>
          <cell r="D522" t="str">
            <v>-</v>
          </cell>
          <cell r="H522">
            <v>3.8956505197546101E-5</v>
          </cell>
          <cell r="I522">
            <v>4.5247043043293799E-5</v>
          </cell>
          <cell r="J522">
            <v>1.15272427482535E-7</v>
          </cell>
        </row>
        <row r="523">
          <cell r="B523" t="str">
            <v>SCOM-CHPWOD</v>
          </cell>
          <cell r="C523" t="str">
            <v>VAR_cap</v>
          </cell>
          <cell r="D523" t="str">
            <v>-</v>
          </cell>
          <cell r="H523">
            <v>3.8956505197546101E-5</v>
          </cell>
          <cell r="I523">
            <v>7.4798138100615725E-5</v>
          </cell>
          <cell r="J523">
            <v>3.410450462092979E-5</v>
          </cell>
        </row>
        <row r="524">
          <cell r="B524" t="str">
            <v>ENUC_BMGL</v>
          </cell>
          <cell r="C524" t="str">
            <v>VAR_fout</v>
          </cell>
          <cell r="D524" t="str">
            <v>ELC</v>
          </cell>
          <cell r="E524">
            <v>32.820801416260274</v>
          </cell>
          <cell r="F524">
            <v>32.820797408576404</v>
          </cell>
          <cell r="G524">
            <v>31.506127241724464</v>
          </cell>
          <cell r="H524">
            <v>32.820797980740998</v>
          </cell>
          <cell r="I524">
            <v>32.820802341313581</v>
          </cell>
        </row>
        <row r="525">
          <cell r="B525" t="str">
            <v>ENUC_BMGL</v>
          </cell>
          <cell r="C525" t="str">
            <v>VAR_fin</v>
          </cell>
          <cell r="D525" t="str">
            <v>URN</v>
          </cell>
          <cell r="E525">
            <v>98.945503676290329</v>
          </cell>
          <cell r="F525">
            <v>98.94549159424831</v>
          </cell>
          <cell r="G525">
            <v>94.982130060885083</v>
          </cell>
          <cell r="H525">
            <v>98.945493319164001</v>
          </cell>
          <cell r="I525">
            <v>98.94550646506643</v>
          </cell>
        </row>
        <row r="526">
          <cell r="B526" t="str">
            <v>ENUC_BMGL</v>
          </cell>
          <cell r="C526" t="str">
            <v>VAR_cap</v>
          </cell>
          <cell r="D526" t="str">
            <v>-</v>
          </cell>
          <cell r="E526">
            <v>1.2199999778247026</v>
          </cell>
          <cell r="F526">
            <v>1.2199999549868739</v>
          </cell>
          <cell r="G526">
            <v>1.2199999290844314</v>
          </cell>
          <cell r="H526">
            <v>1.2199999674336144</v>
          </cell>
          <cell r="I526">
            <v>1.2200001039842694</v>
          </cell>
        </row>
        <row r="527">
          <cell r="B527" t="str">
            <v>D-RSH2R</v>
          </cell>
          <cell r="C527" t="str">
            <v>VAR_fout</v>
          </cell>
          <cell r="D527" t="str">
            <v>RSH2</v>
          </cell>
          <cell r="H527">
            <v>1.2147229033026335E-4</v>
          </cell>
          <cell r="I527">
            <v>1.4694569697511377E-4</v>
          </cell>
          <cell r="J527">
            <v>7.5271982313847714E-5</v>
          </cell>
        </row>
        <row r="528">
          <cell r="B528" t="str">
            <v>D-RSH2R</v>
          </cell>
          <cell r="C528" t="str">
            <v>VAR_fin</v>
          </cell>
          <cell r="D528" t="str">
            <v>H2</v>
          </cell>
          <cell r="H528">
            <v>1.2147229033026335E-4</v>
          </cell>
          <cell r="I528">
            <v>1.4694569697511377E-4</v>
          </cell>
          <cell r="J528">
            <v>7.5271982313847714E-5</v>
          </cell>
        </row>
        <row r="529">
          <cell r="B529" t="str">
            <v>D-RSH2R</v>
          </cell>
          <cell r="C529" t="str">
            <v>VAR_ncap</v>
          </cell>
          <cell r="D529" t="str">
            <v>-</v>
          </cell>
          <cell r="H529">
            <v>2.3373643156930699E-5</v>
          </cell>
          <cell r="I529">
            <v>3.1740951586173301E-5</v>
          </cell>
          <cell r="J529">
            <v>1.2213744427568E-5</v>
          </cell>
        </row>
        <row r="530">
          <cell r="B530" t="str">
            <v>D-RSH2R</v>
          </cell>
          <cell r="C530" t="str">
            <v>VAR_cap</v>
          </cell>
          <cell r="D530" t="str">
            <v>-</v>
          </cell>
          <cell r="H530">
            <v>2.3373643156930699E-5</v>
          </cell>
          <cell r="I530">
            <v>3.6211035250976701E-5</v>
          </cell>
          <cell r="J530">
            <v>2.30856947377159E-5</v>
          </cell>
        </row>
        <row r="531">
          <cell r="B531" t="str">
            <v>ENGA-GTOC</v>
          </cell>
          <cell r="C531" t="str">
            <v>VAR_fout</v>
          </cell>
          <cell r="D531" t="str">
            <v>ELC13</v>
          </cell>
          <cell r="I531">
            <v>3.2767575889685644E-6</v>
          </cell>
          <cell r="J531">
            <v>2.3553849316117287E-2</v>
          </cell>
        </row>
        <row r="532">
          <cell r="B532" t="str">
            <v>ENGA-GTOC</v>
          </cell>
          <cell r="C532" t="str">
            <v>VAR_fout</v>
          </cell>
          <cell r="D532" t="str">
            <v>CO2_E</v>
          </cell>
          <cell r="I532">
            <v>9.5339619433236695E-4</v>
          </cell>
          <cell r="J532">
            <v>3.17575515528653</v>
          </cell>
        </row>
        <row r="533">
          <cell r="B533" t="str">
            <v>ENGA-GTOC</v>
          </cell>
          <cell r="C533" t="str">
            <v>VAR_fin</v>
          </cell>
          <cell r="D533" t="str">
            <v>ENGA</v>
          </cell>
          <cell r="I533">
            <v>1.6904187842772471E-5</v>
          </cell>
          <cell r="J533">
            <v>5.6307715519264688E-2</v>
          </cell>
        </row>
        <row r="534">
          <cell r="B534" t="str">
            <v>ENGA-GTOC</v>
          </cell>
          <cell r="C534" t="str">
            <v>VAR_fin</v>
          </cell>
          <cell r="D534" t="str">
            <v>GTC</v>
          </cell>
          <cell r="I534">
            <v>5.7547686732609886E-4</v>
          </cell>
          <cell r="J534">
            <v>4.019328819401969E-2</v>
          </cell>
        </row>
        <row r="535">
          <cell r="B535" t="str">
            <v>ENGA-GTOC</v>
          </cell>
          <cell r="C535" t="str">
            <v>VAR_ncap</v>
          </cell>
          <cell r="D535" t="str">
            <v>-</v>
          </cell>
          <cell r="I535">
            <v>2.9019298075460401E-6</v>
          </cell>
          <cell r="J535">
            <v>5.3538538307955102E-2</v>
          </cell>
        </row>
        <row r="536">
          <cell r="B536" t="str">
            <v>ENGA-GTOC</v>
          </cell>
          <cell r="C536" t="str">
            <v>VAR_cap</v>
          </cell>
          <cell r="D536" t="str">
            <v>-</v>
          </cell>
          <cell r="I536">
            <v>5.7547686732609886E-4</v>
          </cell>
          <cell r="J536">
            <v>4.0193288194019752E-2</v>
          </cell>
        </row>
        <row r="537">
          <cell r="B537" t="str">
            <v>D-RSH2</v>
          </cell>
          <cell r="C537" t="str">
            <v>VAR_fout</v>
          </cell>
          <cell r="D537" t="str">
            <v>RSH2</v>
          </cell>
          <cell r="H537">
            <v>1.1454047806199368E-4</v>
          </cell>
          <cell r="I537">
            <v>1.3578223593095501E-4</v>
          </cell>
          <cell r="J537">
            <v>8.3547302651472587E-5</v>
          </cell>
        </row>
        <row r="538">
          <cell r="B538" t="str">
            <v>D-RSH2</v>
          </cell>
          <cell r="C538" t="str">
            <v>VAR_fin</v>
          </cell>
          <cell r="D538" t="str">
            <v>H2</v>
          </cell>
          <cell r="H538">
            <v>1.1541309186767753E-4</v>
          </cell>
          <cell r="I538">
            <v>1.3681667769027664E-4</v>
          </cell>
          <cell r="J538">
            <v>8.4183798420958271E-5</v>
          </cell>
        </row>
        <row r="539">
          <cell r="B539" t="str">
            <v>D-RSH2</v>
          </cell>
          <cell r="C539" t="str">
            <v>VAR_ncap</v>
          </cell>
          <cell r="D539" t="str">
            <v>-</v>
          </cell>
          <cell r="H539">
            <v>3.0297593808547101E-5</v>
          </cell>
          <cell r="I539">
            <v>6.4513831860337201E-7</v>
          </cell>
          <cell r="J539">
            <v>5.0154542439228098E-7</v>
          </cell>
        </row>
        <row r="540">
          <cell r="B540" t="str">
            <v>D-RSH2</v>
          </cell>
          <cell r="C540" t="str">
            <v>VAR_cap</v>
          </cell>
          <cell r="D540" t="str">
            <v>-</v>
          </cell>
          <cell r="H540">
            <v>3.0297593808547101E-5</v>
          </cell>
          <cell r="I540">
            <v>4.4992767746861601E-5</v>
          </cell>
          <cell r="J540">
            <v>4.5494313171253899E-5</v>
          </cell>
        </row>
        <row r="541">
          <cell r="B541" t="str">
            <v>D-RWOD</v>
          </cell>
          <cell r="C541" t="str">
            <v>VAR_fout</v>
          </cell>
          <cell r="D541" t="str">
            <v>RWOD</v>
          </cell>
          <cell r="E541">
            <v>13.723018843470076</v>
          </cell>
          <cell r="F541">
            <v>13.850754902216549</v>
          </cell>
          <cell r="G541">
            <v>18.514275103191881</v>
          </cell>
          <cell r="H541">
            <v>16.504454184346084</v>
          </cell>
          <cell r="I541">
            <v>13.570855748615287</v>
          </cell>
          <cell r="J541">
            <v>8.5452882846605824</v>
          </cell>
        </row>
        <row r="542">
          <cell r="B542" t="str">
            <v>D-RWOD</v>
          </cell>
          <cell r="C542" t="str">
            <v>VAR_fin</v>
          </cell>
          <cell r="D542" t="str">
            <v>WOD</v>
          </cell>
          <cell r="E542">
            <v>13.723018843470076</v>
          </cell>
          <cell r="F542">
            <v>13.850754902216549</v>
          </cell>
          <cell r="G542">
            <v>18.514275103191881</v>
          </cell>
          <cell r="H542">
            <v>16.504454184346084</v>
          </cell>
          <cell r="I542">
            <v>13.570855748615287</v>
          </cell>
          <cell r="J542">
            <v>8.5452882846605824</v>
          </cell>
        </row>
        <row r="543">
          <cell r="B543" t="str">
            <v>CHPOIL</v>
          </cell>
          <cell r="C543" t="str">
            <v>VAR_fout</v>
          </cell>
          <cell r="D543" t="str">
            <v>ELC35</v>
          </cell>
          <cell r="E543">
            <v>1.803013673846607E-3</v>
          </cell>
          <cell r="F543">
            <v>1.2075910509146066E-5</v>
          </cell>
          <cell r="G543">
            <v>5.6159778629402983E-4</v>
          </cell>
          <cell r="H543">
            <v>1.5761689026100586E-4</v>
          </cell>
          <cell r="I543">
            <v>4.0533140248163546E-4</v>
          </cell>
          <cell r="J543">
            <v>9.518119668679972E-6</v>
          </cell>
        </row>
        <row r="544">
          <cell r="B544" t="str">
            <v>CHPOIL</v>
          </cell>
          <cell r="C544" t="str">
            <v>VAR_fout</v>
          </cell>
          <cell r="D544" t="str">
            <v>LTH</v>
          </cell>
          <cell r="E544">
            <v>9.2726417512111192E-3</v>
          </cell>
          <cell r="F544">
            <v>6.2104682618465415E-5</v>
          </cell>
          <cell r="G544">
            <v>2.8882171866550089E-3</v>
          </cell>
          <cell r="H544">
            <v>8.1060114991374384E-4</v>
          </cell>
          <cell r="I544">
            <v>2.0845614984769819E-3</v>
          </cell>
          <cell r="J544">
            <v>4.8950329724639801E-5</v>
          </cell>
        </row>
        <row r="545">
          <cell r="B545" t="str">
            <v>CHPOIL</v>
          </cell>
          <cell r="C545" t="str">
            <v>VAR_fout</v>
          </cell>
          <cell r="D545" t="str">
            <v>CO2_E</v>
          </cell>
          <cell r="E545">
            <v>1.4472338146332</v>
          </cell>
          <cell r="F545">
            <v>4.0963646503104002E-2</v>
          </cell>
          <cell r="G545">
            <v>0.43637138495787298</v>
          </cell>
          <cell r="H545">
            <v>0.116439652066465</v>
          </cell>
          <cell r="I545">
            <v>0.30023913217898701</v>
          </cell>
          <cell r="J545">
            <v>7.8481263157287196E-3</v>
          </cell>
        </row>
        <row r="546">
          <cell r="B546" t="str">
            <v>CHPOIL</v>
          </cell>
          <cell r="C546" t="str">
            <v>VAR_fin</v>
          </cell>
          <cell r="D546" t="str">
            <v>ELFO</v>
          </cell>
          <cell r="E546">
            <v>1.9636822450925316E-2</v>
          </cell>
          <cell r="F546">
            <v>5.5581609909232028E-4</v>
          </cell>
          <cell r="G546">
            <v>5.9209143142180875E-3</v>
          </cell>
          <cell r="H546">
            <v>1.5799138679303208E-3</v>
          </cell>
          <cell r="I546">
            <v>4.0738009793621086E-3</v>
          </cell>
          <cell r="J546">
            <v>1.0648746697053883E-4</v>
          </cell>
        </row>
        <row r="547">
          <cell r="B547" t="str">
            <v>CHPOIL</v>
          </cell>
          <cell r="C547" t="str">
            <v>VAR_ncap</v>
          </cell>
          <cell r="D547" t="str">
            <v>-</v>
          </cell>
          <cell r="F547">
            <v>9.0330322613393904E-7</v>
          </cell>
          <cell r="G547">
            <v>1.03121161752566E-6</v>
          </cell>
          <cell r="H547">
            <v>1.2728474721981701E-6</v>
          </cell>
          <cell r="I547">
            <v>2.8178729572690202E-5</v>
          </cell>
          <cell r="J547">
            <v>1.5796166869047699E-5</v>
          </cell>
        </row>
        <row r="548">
          <cell r="B548" t="str">
            <v>CHPOIL</v>
          </cell>
          <cell r="C548" t="str">
            <v>VAR_cap</v>
          </cell>
          <cell r="D548" t="str">
            <v>-</v>
          </cell>
          <cell r="E548">
            <v>1.5463431663757313E-3</v>
          </cell>
          <cell r="F548">
            <v>4.3862805224603382E-4</v>
          </cell>
          <cell r="G548">
            <v>4.0738103617065854E-4</v>
          </cell>
          <cell r="H548">
            <v>3.0150255294397743E-4</v>
          </cell>
          <cell r="I548">
            <v>1.2132472246028953E-4</v>
          </cell>
          <cell r="J548">
            <v>4.6651244801070654E-5</v>
          </cell>
        </row>
        <row r="549">
          <cell r="B549" t="str">
            <v>CHPHFC</v>
          </cell>
          <cell r="C549" t="str">
            <v>VAR_fout</v>
          </cell>
          <cell r="D549" t="str">
            <v>ELC35</v>
          </cell>
          <cell r="I549">
            <v>0.16527191344571698</v>
          </cell>
          <cell r="J549">
            <v>0.16528799548007675</v>
          </cell>
        </row>
        <row r="550">
          <cell r="B550" t="str">
            <v>CHPHFC</v>
          </cell>
          <cell r="C550" t="str">
            <v>VAR_fout</v>
          </cell>
          <cell r="D550" t="str">
            <v>LTH</v>
          </cell>
          <cell r="I550">
            <v>0.20068732346979865</v>
          </cell>
          <cell r="J550">
            <v>0.20857770858200134</v>
          </cell>
        </row>
        <row r="551">
          <cell r="B551" t="str">
            <v>CHPHFC</v>
          </cell>
          <cell r="C551" t="str">
            <v>VAR_fin</v>
          </cell>
          <cell r="D551" t="str">
            <v>EH2</v>
          </cell>
          <cell r="I551">
            <v>0.39350455582313609</v>
          </cell>
          <cell r="J551">
            <v>0.39354284638113546</v>
          </cell>
        </row>
        <row r="552">
          <cell r="B552" t="str">
            <v>CHPHFC</v>
          </cell>
          <cell r="C552" t="str">
            <v>VAR_ncap</v>
          </cell>
          <cell r="D552" t="str">
            <v>-</v>
          </cell>
          <cell r="I552">
            <v>1.8005382231585699E-2</v>
          </cell>
          <cell r="J552">
            <v>1.9789919421247401E-7</v>
          </cell>
        </row>
        <row r="553">
          <cell r="B553" t="str">
            <v>CHPHFC</v>
          </cell>
          <cell r="C553" t="str">
            <v>VAR_cap</v>
          </cell>
          <cell r="D553" t="str">
            <v>-</v>
          </cell>
          <cell r="I553">
            <v>1.8005382231585699E-2</v>
          </cell>
          <cell r="J553">
            <v>1.800536124844599E-2</v>
          </cell>
        </row>
        <row r="554">
          <cell r="B554" t="str">
            <v>ITOT-ESOLPV</v>
          </cell>
          <cell r="C554" t="str">
            <v>VAR_fout</v>
          </cell>
          <cell r="D554" t="str">
            <v>ITOT_SOL_ELC</v>
          </cell>
          <cell r="E554">
            <v>3.517953999707534</v>
          </cell>
          <cell r="F554">
            <v>4.8498357454346204</v>
          </cell>
          <cell r="G554">
            <v>11.161627644528886</v>
          </cell>
          <cell r="H554">
            <v>16.258297366025332</v>
          </cell>
          <cell r="I554">
            <v>40.834405027552961</v>
          </cell>
          <cell r="J554">
            <v>64.334261714438298</v>
          </cell>
        </row>
        <row r="555">
          <cell r="B555" t="str">
            <v>ITOT-ESOLPV</v>
          </cell>
          <cell r="C555" t="str">
            <v>VAR_fin</v>
          </cell>
          <cell r="D555" t="str">
            <v>SOL</v>
          </cell>
          <cell r="E555">
            <v>3.517953999707534</v>
          </cell>
          <cell r="F555">
            <v>4.8498357454346204</v>
          </cell>
          <cell r="G555">
            <v>11.161627644528886</v>
          </cell>
          <cell r="H555">
            <v>16.258297366025332</v>
          </cell>
          <cell r="I555">
            <v>40.834405027552961</v>
          </cell>
          <cell r="J555">
            <v>64.334261714438298</v>
          </cell>
        </row>
        <row r="556">
          <cell r="B556" t="str">
            <v>ITOT-ESOLPV</v>
          </cell>
          <cell r="C556" t="str">
            <v>VAR_fin</v>
          </cell>
          <cell r="D556" t="str">
            <v>SOLPVC</v>
          </cell>
          <cell r="E556">
            <v>3.51795399970753</v>
          </cell>
          <cell r="F556">
            <v>4.8498357454346204</v>
          </cell>
          <cell r="G556">
            <v>11.161627644528901</v>
          </cell>
          <cell r="H556">
            <v>16.2582973660253</v>
          </cell>
          <cell r="I556">
            <v>40.834405027552997</v>
          </cell>
          <cell r="J556">
            <v>64.334261714438298</v>
          </cell>
        </row>
        <row r="557">
          <cell r="B557" t="str">
            <v>ITOT-ESOLPV</v>
          </cell>
          <cell r="C557" t="str">
            <v>VAR_ncap</v>
          </cell>
          <cell r="D557" t="str">
            <v>-</v>
          </cell>
          <cell r="G557">
            <v>1.76796564663221</v>
          </cell>
          <cell r="H557">
            <v>1.19604246951417</v>
          </cell>
          <cell r="I557">
            <v>4.67154400250514</v>
          </cell>
          <cell r="J557">
            <v>10.668463389387099</v>
          </cell>
        </row>
        <row r="558">
          <cell r="B558" t="str">
            <v>ITOT-ESOLPV</v>
          </cell>
          <cell r="C558" t="str">
            <v>VAR_cap</v>
          </cell>
          <cell r="D558" t="str">
            <v>-</v>
          </cell>
          <cell r="E558">
            <v>1.1186210000000001</v>
          </cell>
          <cell r="F558">
            <v>1.65292701458705</v>
          </cell>
          <cell r="G558">
            <v>3.5611866466322102</v>
          </cell>
          <cell r="H558">
            <v>4.6883132193422696</v>
          </cell>
          <cell r="I558">
            <v>11.775186380271037</v>
          </cell>
          <cell r="J558">
            <v>18.551706601104499</v>
          </cell>
        </row>
        <row r="559">
          <cell r="B559" t="str">
            <v>SUP_WODBIOCCS</v>
          </cell>
          <cell r="C559" t="str">
            <v>VAR_fout</v>
          </cell>
          <cell r="D559" t="str">
            <v>ELC35</v>
          </cell>
          <cell r="I559">
            <v>8.0206764482572137E-6</v>
          </cell>
          <cell r="J559">
            <v>9.5380945635705318E-6</v>
          </cell>
        </row>
        <row r="560">
          <cell r="B560" t="str">
            <v>SUP_WODBIOCCS</v>
          </cell>
          <cell r="C560" t="str">
            <v>VAR_fout</v>
          </cell>
          <cell r="D560" t="str">
            <v>CO2_O</v>
          </cell>
          <cell r="I560">
            <v>1.2051576905902455E-2</v>
          </cell>
          <cell r="J560">
            <v>1.4288686561813001E-2</v>
          </cell>
        </row>
        <row r="561">
          <cell r="B561" t="str">
            <v>SUP_WODBIOCCS</v>
          </cell>
          <cell r="C561" t="str">
            <v>VAR_fout</v>
          </cell>
          <cell r="D561" t="str">
            <v>CO2</v>
          </cell>
          <cell r="I561">
            <v>-1.20515769059025E-2</v>
          </cell>
          <cell r="J561">
            <v>-1.4288686561813001E-2</v>
          </cell>
        </row>
        <row r="562">
          <cell r="B562" t="str">
            <v>SUP_WODBIOCCS</v>
          </cell>
          <cell r="C562" t="str">
            <v>VAR_fout</v>
          </cell>
          <cell r="D562" t="str">
            <v>BIO</v>
          </cell>
          <cell r="I562">
            <v>1.8830398937140196E-4</v>
          </cell>
          <cell r="J562">
            <v>2.2301549674870808E-4</v>
          </cell>
        </row>
        <row r="563">
          <cell r="B563" t="str">
            <v>SUP_WODBIOCCS</v>
          </cell>
          <cell r="C563" t="str">
            <v>VAR_fout</v>
          </cell>
          <cell r="D563" t="str">
            <v>LTH</v>
          </cell>
          <cell r="I563">
            <v>2.3056496157624894E-5</v>
          </cell>
          <cell r="J563">
            <v>2.7550848590891663E-5</v>
          </cell>
        </row>
        <row r="564">
          <cell r="B564" t="str">
            <v>SUP_WODBIOCCS</v>
          </cell>
          <cell r="C564" t="str">
            <v>VAR_fin</v>
          </cell>
          <cell r="D564" t="str">
            <v>CWOD</v>
          </cell>
          <cell r="I564">
            <v>2.800917152166473E-4</v>
          </cell>
          <cell r="J564">
            <v>3.3213655551787071E-4</v>
          </cell>
        </row>
        <row r="565">
          <cell r="B565" t="str">
            <v>SUP_WODBIOCCS</v>
          </cell>
          <cell r="C565" t="str">
            <v>VAR_ncap</v>
          </cell>
          <cell r="D565" t="str">
            <v>-</v>
          </cell>
          <cell r="I565">
            <v>1.11201832248765E-5</v>
          </cell>
          <cell r="J565">
            <v>1.14362207462797E-7</v>
          </cell>
        </row>
        <row r="566">
          <cell r="B566" t="str">
            <v>SUP_WODBIOCCS</v>
          </cell>
          <cell r="C566" t="str">
            <v>VAR_cap</v>
          </cell>
          <cell r="D566" t="str">
            <v>-</v>
          </cell>
          <cell r="I566">
            <v>1.11201832248765E-5</v>
          </cell>
          <cell r="J566">
            <v>1.12345454323393E-5</v>
          </cell>
        </row>
        <row r="567">
          <cell r="B567" t="str">
            <v>RHNS-CHPNGA</v>
          </cell>
          <cell r="C567" t="str">
            <v>VAR_fout</v>
          </cell>
          <cell r="D567" t="str">
            <v>CO2_R</v>
          </cell>
          <cell r="F567">
            <v>9.3789269382608495E-2</v>
          </cell>
          <cell r="G567">
            <v>0.33213309200768498</v>
          </cell>
          <cell r="H567">
            <v>0.31412873738100799</v>
          </cell>
          <cell r="I567">
            <v>0.17341893822190799</v>
          </cell>
        </row>
        <row r="568">
          <cell r="B568" t="str">
            <v>RHNS-CHPNGA</v>
          </cell>
          <cell r="C568" t="str">
            <v>VAR_fout</v>
          </cell>
          <cell r="D568" t="str">
            <v>RHNS_LTH_CHPNGA</v>
          </cell>
          <cell r="F568">
            <v>1.0473724589225421E-3</v>
          </cell>
          <cell r="G568">
            <v>2.9431520944667483E-3</v>
          </cell>
          <cell r="H568">
            <v>3.2196699394400263E-3</v>
          </cell>
          <cell r="I568">
            <v>1.6439996347256895E-3</v>
          </cell>
        </row>
        <row r="569">
          <cell r="B569" t="str">
            <v>RHNS-CHPNGA</v>
          </cell>
          <cell r="C569" t="str">
            <v>VAR_fout</v>
          </cell>
          <cell r="D569" t="str">
            <v>RHNS_NKEV_GAS_ELC_CHP</v>
          </cell>
          <cell r="F569">
            <v>4.3950576095994678E-4</v>
          </cell>
          <cell r="G569">
            <v>1.2542406896374624E-3</v>
          </cell>
          <cell r="H569">
            <v>1.4086055985050086E-3</v>
          </cell>
          <cell r="I569">
            <v>7.3209358733878271E-4</v>
          </cell>
        </row>
        <row r="570">
          <cell r="B570" t="str">
            <v>RHNS-CHPNGA</v>
          </cell>
          <cell r="C570" t="str">
            <v>VAR_fin</v>
          </cell>
          <cell r="D570" t="str">
            <v>RNGA</v>
          </cell>
          <cell r="F570">
            <v>1.6629303082022781E-3</v>
          </cell>
          <cell r="G570">
            <v>5.8888846100653373E-3</v>
          </cell>
          <cell r="H570">
            <v>5.5696584642022659E-3</v>
          </cell>
          <cell r="I570">
            <v>3.0748038691827558E-3</v>
          </cell>
        </row>
        <row r="571">
          <cell r="B571" t="str">
            <v>RHNS-CHPNGA</v>
          </cell>
          <cell r="C571" t="str">
            <v>VAR_ncap</v>
          </cell>
          <cell r="D571" t="str">
            <v>-</v>
          </cell>
          <cell r="F571">
            <v>1.2507760522529501E-4</v>
          </cell>
        </row>
        <row r="572">
          <cell r="B572" t="str">
            <v>RHNS-CHPNGA</v>
          </cell>
          <cell r="C572" t="str">
            <v>VAR_cap</v>
          </cell>
          <cell r="D572" t="str">
            <v>-</v>
          </cell>
          <cell r="F572">
            <v>1.2507760522529501E-4</v>
          </cell>
          <cell r="G572">
            <v>1.2507760522529501E-4</v>
          </cell>
          <cell r="H572">
            <v>1.2507760522529501E-4</v>
          </cell>
          <cell r="I572">
            <v>6.4846396849386722E-5</v>
          </cell>
        </row>
        <row r="573">
          <cell r="B573" t="str">
            <v>ENUC_BEZ</v>
          </cell>
          <cell r="C573" t="str">
            <v>VAR_fout</v>
          </cell>
          <cell r="D573" t="str">
            <v>ELC</v>
          </cell>
          <cell r="E573">
            <v>20.224801740189442</v>
          </cell>
          <cell r="F573">
            <v>20.224795695902202</v>
          </cell>
          <cell r="G573">
            <v>9.4801336905649958</v>
          </cell>
          <cell r="H573">
            <v>7.3992079470751353</v>
          </cell>
        </row>
        <row r="574">
          <cell r="B574" t="str">
            <v>ENUC_BEZ</v>
          </cell>
          <cell r="C574" t="str">
            <v>VAR_fin</v>
          </cell>
          <cell r="D574" t="str">
            <v>URN</v>
          </cell>
          <cell r="E574">
            <v>60.972100271285086</v>
          </cell>
          <cell r="F574">
            <v>60.972082049455572</v>
          </cell>
          <cell r="G574">
            <v>28.579942062804236</v>
          </cell>
          <cell r="H574">
            <v>22.306535049026824</v>
          </cell>
        </row>
        <row r="575">
          <cell r="B575" t="str">
            <v>ENUC_BEZ</v>
          </cell>
          <cell r="C575" t="str">
            <v>VAR_cap</v>
          </cell>
          <cell r="D575" t="str">
            <v>-</v>
          </cell>
          <cell r="E575">
            <v>0.72999995266371487</v>
          </cell>
          <cell r="F575">
            <v>0.72999988260703819</v>
          </cell>
          <cell r="G575">
            <v>0.36500006596637702</v>
          </cell>
          <cell r="H575">
            <v>0.26706925341595822</v>
          </cell>
        </row>
        <row r="576">
          <cell r="B576" t="str">
            <v>RHNM-CHPWOD</v>
          </cell>
          <cell r="C576" t="str">
            <v>VAR_fout</v>
          </cell>
          <cell r="D576" t="str">
            <v>RHNM_LTH_CHPWOD</v>
          </cell>
          <cell r="H576">
            <v>3.1434574241783479E-3</v>
          </cell>
          <cell r="I576">
            <v>0.48232026883276258</v>
          </cell>
          <cell r="J576">
            <v>0.31463286092160991</v>
          </cell>
        </row>
        <row r="577">
          <cell r="B577" t="str">
            <v>RHNM-CHPWOD</v>
          </cell>
          <cell r="C577" t="str">
            <v>VAR_fout</v>
          </cell>
          <cell r="D577" t="str">
            <v>RHNM_KEV_WOD_ELC_CHP</v>
          </cell>
          <cell r="H577">
            <v>1.1817071427929701E-3</v>
          </cell>
          <cell r="I577">
            <v>0.1813166936537976</v>
          </cell>
          <cell r="J577">
            <v>0.11827864956867928</v>
          </cell>
        </row>
        <row r="578">
          <cell r="B578" t="str">
            <v>RHNM-CHPWOD</v>
          </cell>
          <cell r="C578" t="str">
            <v>VAR_fin</v>
          </cell>
          <cell r="D578" t="str">
            <v>RWOD</v>
          </cell>
          <cell r="H578">
            <v>4.6007546759642606E-3</v>
          </cell>
          <cell r="I578">
            <v>0.66232056959200969</v>
          </cell>
          <cell r="J578">
            <v>0.41484334186013994</v>
          </cell>
        </row>
        <row r="579">
          <cell r="B579" t="str">
            <v>RHNM-CHPWOD</v>
          </cell>
          <cell r="C579" t="str">
            <v>VAR_ncap</v>
          </cell>
          <cell r="D579" t="str">
            <v>-</v>
          </cell>
          <cell r="H579">
            <v>8.7675507604128601E-5</v>
          </cell>
          <cell r="I579">
            <v>1.0275754103424E-2</v>
          </cell>
          <cell r="J579">
            <v>2.0170913995008501E-7</v>
          </cell>
        </row>
        <row r="580">
          <cell r="B580" t="str">
            <v>RHNM-CHPWOD</v>
          </cell>
          <cell r="C580" t="str">
            <v>VAR_cap</v>
          </cell>
          <cell r="D580" t="str">
            <v>-</v>
          </cell>
          <cell r="H580">
            <v>8.7675507604128601E-5</v>
          </cell>
          <cell r="I580">
            <v>1.3454156461686561E-2</v>
          </cell>
          <cell r="J580">
            <v>8.7766883058129682E-3</v>
          </cell>
        </row>
        <row r="581">
          <cell r="B581" t="str">
            <v>RHNM-SHSTG-CHPNGA</v>
          </cell>
          <cell r="C581" t="str">
            <v>VAR_fout</v>
          </cell>
          <cell r="D581" t="str">
            <v>AUX_RNM-CHPNGA_OUT</v>
          </cell>
          <cell r="E581">
            <v>4.0522019389324003E-4</v>
          </cell>
          <cell r="F581">
            <v>3.005366812548685E-4</v>
          </cell>
          <cell r="G581">
            <v>1.8553807066979979E-3</v>
          </cell>
          <cell r="H581">
            <v>5.183147348345416E-4</v>
          </cell>
          <cell r="I581">
            <v>8.1227691448168601E-3</v>
          </cell>
          <cell r="J581">
            <v>2.0134783953857171E-4</v>
          </cell>
        </row>
        <row r="582">
          <cell r="B582" t="str">
            <v>RHNM-SHSTG-CHPNGA</v>
          </cell>
          <cell r="C582" t="str">
            <v>VAR_fout</v>
          </cell>
          <cell r="D582" t="str">
            <v>RHNM_LTH_CHPNGA</v>
          </cell>
          <cell r="E582">
            <v>4.0522019389323906E-4</v>
          </cell>
          <cell r="F582">
            <v>3.0073703904237104E-4</v>
          </cell>
          <cell r="G582">
            <v>1.8573133949341416E-3</v>
          </cell>
          <cell r="H582">
            <v>5.183147348345416E-4</v>
          </cell>
          <cell r="I582">
            <v>8.1227691448168236E-3</v>
          </cell>
          <cell r="J582">
            <v>2.0134783953857147E-4</v>
          </cell>
        </row>
        <row r="583">
          <cell r="B583" t="str">
            <v>RHNM-SHSTG-CHPNGA</v>
          </cell>
          <cell r="C583" t="str">
            <v>VAR_fin</v>
          </cell>
          <cell r="D583" t="str">
            <v>AUX_RNM-CHPNGA_IN</v>
          </cell>
          <cell r="E583">
            <v>3.1828287522495574E-4</v>
          </cell>
          <cell r="F583">
            <v>3.9140580054174883E-4</v>
          </cell>
          <cell r="G583">
            <v>2.3920128326225414E-3</v>
          </cell>
          <cell r="H583">
            <v>6.5015370864117622E-4</v>
          </cell>
          <cell r="I583">
            <v>9.5584732467414914E-3</v>
          </cell>
          <cell r="J583">
            <v>1.5855610502651891E-4</v>
          </cell>
        </row>
        <row r="584">
          <cell r="B584" t="str">
            <v>RHNM-SHSTG-CHPNGA</v>
          </cell>
          <cell r="C584" t="str">
            <v>VAR_fin</v>
          </cell>
          <cell r="D584" t="str">
            <v>RHNM_LTH_CHPNGA</v>
          </cell>
          <cell r="E584">
            <v>3.1828287522495574E-4</v>
          </cell>
          <cell r="F584">
            <v>3.9140580054174883E-4</v>
          </cell>
          <cell r="G584">
            <v>2.3920128326225414E-3</v>
          </cell>
          <cell r="H584">
            <v>6.5015370864117622E-4</v>
          </cell>
          <cell r="I584">
            <v>9.5584732467414914E-3</v>
          </cell>
          <cell r="J584">
            <v>1.5855610502651891E-4</v>
          </cell>
        </row>
        <row r="585">
          <cell r="B585" t="str">
            <v>RHNM-SHSTG-CHPNGA</v>
          </cell>
          <cell r="C585" t="str">
            <v>VAR_ncap</v>
          </cell>
          <cell r="D585" t="str">
            <v>-</v>
          </cell>
          <cell r="E585">
            <v>1.6105219241468701E-3</v>
          </cell>
          <cell r="F585">
            <v>4.1930383494206599E-5</v>
          </cell>
          <cell r="G585">
            <v>2.8909511134529301E-5</v>
          </cell>
          <cell r="H585">
            <v>1.9259443304486401E-5</v>
          </cell>
          <cell r="I585">
            <v>3.3319519877786198E-3</v>
          </cell>
          <cell r="J585">
            <v>9.9756174203013802E-6</v>
          </cell>
        </row>
        <row r="586">
          <cell r="B586" t="str">
            <v>RHNM-SHSTG-CHPNGA</v>
          </cell>
          <cell r="C586" t="str">
            <v>VAR_cap</v>
          </cell>
          <cell r="D586" t="str">
            <v>-</v>
          </cell>
          <cell r="E586">
            <v>1.6105219241468701E-3</v>
          </cell>
          <cell r="F586">
            <v>1.6496284181237067E-3</v>
          </cell>
          <cell r="G586">
            <v>1.6708369608245863E-3</v>
          </cell>
          <cell r="H586">
            <v>1.6676227390910704E-3</v>
          </cell>
          <cell r="I586">
            <v>5.4309744724282544E-3</v>
          </cell>
          <cell r="J586">
            <v>8.8350156277412989E-4</v>
          </cell>
        </row>
        <row r="587">
          <cell r="B587" t="str">
            <v>CT_CWODBDS</v>
          </cell>
          <cell r="C587" t="str">
            <v>VAR_fout</v>
          </cell>
          <cell r="D587" t="str">
            <v>BDS</v>
          </cell>
          <cell r="E587">
            <v>0.68124618976053264</v>
          </cell>
          <cell r="F587">
            <v>0.63726252784008453</v>
          </cell>
          <cell r="G587">
            <v>0.88320396834151982</v>
          </cell>
          <cell r="H587">
            <v>3.9727303584592958E-5</v>
          </cell>
          <cell r="I587">
            <v>1.1618766492015559E-4</v>
          </cell>
          <cell r="J587">
            <v>6.6263009819423173E-5</v>
          </cell>
        </row>
        <row r="588">
          <cell r="B588" t="str">
            <v>CT_CWODBDS</v>
          </cell>
          <cell r="C588" t="str">
            <v>VAR_fout</v>
          </cell>
          <cell r="D588" t="str">
            <v>LTH</v>
          </cell>
          <cell r="E588">
            <v>0.26568601400660719</v>
          </cell>
          <cell r="F588">
            <v>0.24853238585763265</v>
          </cell>
          <cell r="G588">
            <v>0.34444954765319225</v>
          </cell>
          <cell r="H588">
            <v>1.5493648397991225E-5</v>
          </cell>
          <cell r="I588">
            <v>4.5313189318860594E-5</v>
          </cell>
          <cell r="J588">
            <v>2.5842573829574977E-5</v>
          </cell>
        </row>
        <row r="589">
          <cell r="B589" t="str">
            <v>CT_CWODBDS</v>
          </cell>
          <cell r="C589" t="str">
            <v>VAR_fin</v>
          </cell>
          <cell r="D589" t="str">
            <v>CWOD</v>
          </cell>
          <cell r="E589">
            <v>1.9412110177226365</v>
          </cell>
          <cell r="F589">
            <v>1.8158795730803214</v>
          </cell>
          <cell r="G589">
            <v>2.5166897077891592</v>
          </cell>
          <cell r="H589">
            <v>1.1320295156429759E-4</v>
          </cell>
          <cell r="I589">
            <v>3.3107675118998296E-4</v>
          </cell>
          <cell r="J589">
            <v>1.8881644648044622E-4</v>
          </cell>
        </row>
        <row r="590">
          <cell r="B590" t="str">
            <v>CT_CWODBDS</v>
          </cell>
          <cell r="C590" t="str">
            <v>VAR_fin</v>
          </cell>
          <cell r="D590" t="str">
            <v>CELC</v>
          </cell>
          <cell r="E590">
            <v>4.7346610188357022E-2</v>
          </cell>
          <cell r="F590">
            <v>4.4289745684885848E-2</v>
          </cell>
          <cell r="G590">
            <v>6.1382675799735636E-2</v>
          </cell>
          <cell r="H590">
            <v>2.7610475991292093E-6</v>
          </cell>
          <cell r="I590">
            <v>8.0750427119508057E-6</v>
          </cell>
          <cell r="J590">
            <v>4.6052791824499073E-6</v>
          </cell>
        </row>
        <row r="591">
          <cell r="B591" t="str">
            <v>CT_CWODBDS</v>
          </cell>
          <cell r="C591" t="str">
            <v>VAR_ncap</v>
          </cell>
          <cell r="D591" t="str">
            <v>-</v>
          </cell>
          <cell r="E591">
            <v>3.4446927114877703E-8</v>
          </cell>
          <cell r="F591">
            <v>3.8798801115155798E-8</v>
          </cell>
          <cell r="G591">
            <v>6.6946999967349299E-8</v>
          </cell>
          <cell r="H591">
            <v>8.2588885878313906E-8</v>
          </cell>
          <cell r="I591">
            <v>2.96247902810765E-6</v>
          </cell>
          <cell r="J591">
            <v>3.4289972966208098E-7</v>
          </cell>
        </row>
        <row r="592">
          <cell r="B592" t="str">
            <v>CT_CWODBDS</v>
          </cell>
          <cell r="C592" t="str">
            <v>VAR_cap</v>
          </cell>
          <cell r="D592" t="str">
            <v>-</v>
          </cell>
          <cell r="E592">
            <v>4.5800358996004917E-2</v>
          </cell>
          <cell r="F592">
            <v>4.5798795432729633E-2</v>
          </cell>
          <cell r="G592">
            <v>4.5798470278700293E-2</v>
          </cell>
          <cell r="H592">
            <v>2.1895221008871868E-5</v>
          </cell>
          <cell r="I592">
            <v>1.3484439350997334E-5</v>
          </cell>
          <cell r="J592">
            <v>1.1659785067274223E-5</v>
          </cell>
        </row>
        <row r="593">
          <cell r="B593" t="str">
            <v>RHNS-EBAT</v>
          </cell>
          <cell r="C593" t="str">
            <v>VAR_fout</v>
          </cell>
          <cell r="D593" t="str">
            <v>RHNS_ELC</v>
          </cell>
          <cell r="E593">
            <v>6.3213461327563732E-4</v>
          </cell>
          <cell r="F593">
            <v>6.249882899154631E-4</v>
          </cell>
          <cell r="G593">
            <v>6.2802787734621106E-4</v>
          </cell>
          <cell r="H593">
            <v>8.8960714835053332E-3</v>
          </cell>
          <cell r="I593">
            <v>1.124779868311261E-2</v>
          </cell>
          <cell r="J593">
            <v>6.9258095020400118E-3</v>
          </cell>
        </row>
        <row r="594">
          <cell r="B594" t="str">
            <v>RHNS-EBAT</v>
          </cell>
          <cell r="C594" t="str">
            <v>VAR_fout</v>
          </cell>
          <cell r="D594" t="str">
            <v>AUX_RHNS-EBAT_OUT</v>
          </cell>
          <cell r="E594">
            <v>6.3213461327563786E-4</v>
          </cell>
          <cell r="F594">
            <v>6.2498828991546375E-4</v>
          </cell>
          <cell r="G594">
            <v>6.2802787734621149E-4</v>
          </cell>
          <cell r="H594">
            <v>8.8960714835053384E-3</v>
          </cell>
          <cell r="I594">
            <v>1.1247798683112625E-2</v>
          </cell>
          <cell r="J594">
            <v>6.9258095020400178E-3</v>
          </cell>
        </row>
        <row r="595">
          <cell r="B595" t="str">
            <v>RHNS-EBAT</v>
          </cell>
          <cell r="C595" t="str">
            <v>VAR_fin</v>
          </cell>
          <cell r="D595" t="str">
            <v>RHNS_ELC</v>
          </cell>
          <cell r="E595">
            <v>7.0910114916765171E-4</v>
          </cell>
          <cell r="F595">
            <v>6.9954034325426162E-4</v>
          </cell>
          <cell r="G595">
            <v>6.9579133475965085E-4</v>
          </cell>
          <cell r="H595">
            <v>9.838810360372565E-3</v>
          </cell>
          <cell r="I595">
            <v>1.2439336475685198E-2</v>
          </cell>
          <cell r="J595">
            <v>7.6598007900801311E-3</v>
          </cell>
        </row>
        <row r="596">
          <cell r="B596" t="str">
            <v>RHNS-EBAT</v>
          </cell>
          <cell r="C596" t="str">
            <v>VAR_fin</v>
          </cell>
          <cell r="D596" t="str">
            <v>AUX_RHNS-EBAT_IN</v>
          </cell>
          <cell r="E596">
            <v>7.0910114916765171E-4</v>
          </cell>
          <cell r="F596">
            <v>6.9954034325426162E-4</v>
          </cell>
          <cell r="G596">
            <v>6.9579133475965085E-4</v>
          </cell>
          <cell r="H596">
            <v>9.838810360372565E-3</v>
          </cell>
          <cell r="I596">
            <v>1.2439336475685198E-2</v>
          </cell>
          <cell r="J596">
            <v>7.6598007900801311E-3</v>
          </cell>
        </row>
        <row r="597">
          <cell r="B597" t="str">
            <v>RHNS-EBAT</v>
          </cell>
          <cell r="C597" t="str">
            <v>VAR_ncap</v>
          </cell>
          <cell r="D597" t="str">
            <v>-</v>
          </cell>
          <cell r="E597">
            <v>2.5363134593669101E-4</v>
          </cell>
          <cell r="F597">
            <v>3.8263725471613098E-7</v>
          </cell>
          <cell r="G597">
            <v>1.24139243885967E-6</v>
          </cell>
          <cell r="H597">
            <v>6.2620752916703604E-3</v>
          </cell>
          <cell r="I597">
            <v>3.2149370950458199E-3</v>
          </cell>
          <cell r="J597">
            <v>1.1626836427936101E-3</v>
          </cell>
        </row>
        <row r="598">
          <cell r="B598" t="str">
            <v>RHNS-EBAT</v>
          </cell>
          <cell r="C598" t="str">
            <v>VAR_cap</v>
          </cell>
          <cell r="D598" t="str">
            <v>-</v>
          </cell>
          <cell r="E598">
            <v>2.5635258822466781E-4</v>
          </cell>
          <cell r="F598">
            <v>2.5660821611829413E-4</v>
          </cell>
          <cell r="G598">
            <v>2.5762003328599805E-4</v>
          </cell>
          <cell r="H598">
            <v>6.4488841110204049E-3</v>
          </cell>
          <cell r="I598">
            <v>4.6911187888261738E-3</v>
          </cell>
          <cell r="J598">
            <v>2.839292601993117E-3</v>
          </cell>
        </row>
        <row r="599">
          <cell r="B599" t="str">
            <v>G-INTC-EXP00-AT</v>
          </cell>
          <cell r="C599" t="str">
            <v>VAR_fout</v>
          </cell>
          <cell r="D599" t="str">
            <v>ELC_E-AT</v>
          </cell>
          <cell r="E599">
            <v>6.2295633465615854</v>
          </cell>
          <cell r="F599">
            <v>4.1373637255562193E-4</v>
          </cell>
          <cell r="G599">
            <v>5.026837298330618E-4</v>
          </cell>
          <cell r="H599">
            <v>1.0517653153165656E-4</v>
          </cell>
          <cell r="I599">
            <v>1.5344012976821657E-4</v>
          </cell>
          <cell r="J599">
            <v>6.5514599285148128E-5</v>
          </cell>
        </row>
        <row r="600">
          <cell r="B600" t="str">
            <v>G-INTC-EXP00-AT</v>
          </cell>
          <cell r="C600" t="str">
            <v>VAR_fin</v>
          </cell>
          <cell r="D600" t="str">
            <v>ELC</v>
          </cell>
          <cell r="E600">
            <v>6.2295633465615854</v>
          </cell>
          <cell r="F600">
            <v>4.1373637255562193E-4</v>
          </cell>
          <cell r="G600">
            <v>5.026837298330618E-4</v>
          </cell>
          <cell r="H600">
            <v>1.0517653153165656E-4</v>
          </cell>
          <cell r="I600">
            <v>1.5344012976821657E-4</v>
          </cell>
          <cell r="J600">
            <v>6.5514599285148128E-5</v>
          </cell>
        </row>
        <row r="601">
          <cell r="B601" t="str">
            <v>G-INTC-EXP00-AT</v>
          </cell>
          <cell r="C601" t="str">
            <v>VAR_ncap</v>
          </cell>
          <cell r="D601" t="str">
            <v>-</v>
          </cell>
          <cell r="E601">
            <v>1.6110266169533001E-7</v>
          </cell>
          <cell r="F601">
            <v>1.5996604363821901E-7</v>
          </cell>
          <cell r="G601">
            <v>2.0729828623836199E-7</v>
          </cell>
          <cell r="H601">
            <v>1.83312534268759E-7</v>
          </cell>
          <cell r="I601">
            <v>2.9496265529915E-7</v>
          </cell>
          <cell r="J601">
            <v>7.2331959592472901E-7</v>
          </cell>
        </row>
        <row r="602">
          <cell r="B602" t="str">
            <v>G-INTC-EXP00-AT</v>
          </cell>
          <cell r="C602" t="str">
            <v>VAR_cap</v>
          </cell>
          <cell r="D602" t="str">
            <v>-</v>
          </cell>
          <cell r="E602">
            <v>0.23323505035240999</v>
          </cell>
          <cell r="F602">
            <v>2.5557478021998037E-4</v>
          </cell>
          <cell r="G602">
            <v>2.5400523690999322E-4</v>
          </cell>
          <cell r="H602">
            <v>2.5243972067068299E-4</v>
          </cell>
          <cell r="I602">
            <v>2.5124208813576132E-4</v>
          </cell>
          <cell r="J602">
            <v>2.5198289781247496E-4</v>
          </cell>
        </row>
        <row r="603">
          <cell r="B603" t="str">
            <v>G-INTC-IMP00-DE</v>
          </cell>
          <cell r="C603" t="str">
            <v>VAR_fout</v>
          </cell>
          <cell r="D603" t="str">
            <v>ELC</v>
          </cell>
          <cell r="E603">
            <v>46.398483406385218</v>
          </cell>
          <cell r="F603">
            <v>25.735845815098717</v>
          </cell>
          <cell r="G603">
            <v>23.042620092013728</v>
          </cell>
          <cell r="H603">
            <v>31.010062498079158</v>
          </cell>
          <cell r="I603">
            <v>23.919019057715573</v>
          </cell>
          <cell r="J603">
            <v>18.841259378333234</v>
          </cell>
        </row>
        <row r="604">
          <cell r="B604" t="str">
            <v>G-INTC-IMP00-DE</v>
          </cell>
          <cell r="C604" t="str">
            <v>VAR_fin</v>
          </cell>
          <cell r="D604" t="str">
            <v>ELC_I-DE</v>
          </cell>
          <cell r="E604">
            <v>46.398483406385218</v>
          </cell>
          <cell r="F604">
            <v>25.735845815098717</v>
          </cell>
          <cell r="G604">
            <v>23.042620092013728</v>
          </cell>
          <cell r="H604">
            <v>31.010062498079158</v>
          </cell>
          <cell r="I604">
            <v>23.919019057715573</v>
          </cell>
          <cell r="J604">
            <v>18.841259378333234</v>
          </cell>
        </row>
        <row r="605">
          <cell r="B605" t="str">
            <v>G-INTC-IMP00-DE</v>
          </cell>
          <cell r="C605" t="str">
            <v>VAR_ncap</v>
          </cell>
          <cell r="D605" t="str">
            <v>-</v>
          </cell>
          <cell r="E605">
            <v>6.1097330385762995E-7</v>
          </cell>
          <cell r="F605">
            <v>5.8695513977407001E-7</v>
          </cell>
          <cell r="G605">
            <v>7.0967867468913499E-7</v>
          </cell>
          <cell r="H605">
            <v>6.5812456961928302E-7</v>
          </cell>
          <cell r="I605">
            <v>7.5572951725450201E-7</v>
          </cell>
          <cell r="J605">
            <v>1.1420800591170299E-6</v>
          </cell>
        </row>
        <row r="606">
          <cell r="B606" t="str">
            <v>G-INTC-IMP00-DE</v>
          </cell>
          <cell r="C606" t="str">
            <v>VAR_cap</v>
          </cell>
          <cell r="D606" t="str">
            <v>-</v>
          </cell>
          <cell r="E606">
            <v>2.0612385080626301</v>
          </cell>
          <cell r="F606">
            <v>2.06122020446624</v>
          </cell>
          <cell r="G606">
            <v>2.06121878676473</v>
          </cell>
          <cell r="H606">
            <v>2.0612184345471203</v>
          </cell>
          <cell r="I606">
            <v>2.0612174839087882</v>
          </cell>
          <cell r="J606">
            <v>2.0612167759454847</v>
          </cell>
        </row>
        <row r="607">
          <cell r="B607" t="str">
            <v>RHEM-SHSTG-CHPWOD</v>
          </cell>
          <cell r="C607" t="str">
            <v>VAR_fout</v>
          </cell>
          <cell r="D607" t="str">
            <v>AUX_REM-CHPWOD_OUT</v>
          </cell>
          <cell r="E607">
            <v>3.7066418271584895E-4</v>
          </cell>
          <cell r="F607">
            <v>2.2805732090448581E-4</v>
          </cell>
          <cell r="G607">
            <v>1.458517346556459E-4</v>
          </cell>
          <cell r="H607">
            <v>2.8572233605966417E-4</v>
          </cell>
          <cell r="I607">
            <v>1.6545344819416486E-2</v>
          </cell>
          <cell r="J607">
            <v>3.8959678427144939E-3</v>
          </cell>
        </row>
        <row r="608">
          <cell r="B608" t="str">
            <v>RHEM-SHSTG-CHPWOD</v>
          </cell>
          <cell r="C608" t="str">
            <v>VAR_fout</v>
          </cell>
          <cell r="D608" t="str">
            <v>RHEM_LTH_CHPWOD</v>
          </cell>
          <cell r="E608">
            <v>3.7066418271584819E-4</v>
          </cell>
          <cell r="F608">
            <v>2.2820935911842171E-4</v>
          </cell>
          <cell r="G608">
            <v>1.4600366354591206E-4</v>
          </cell>
          <cell r="H608">
            <v>2.8572233605966417E-4</v>
          </cell>
          <cell r="I608">
            <v>1.6545344819416431E-2</v>
          </cell>
          <cell r="J608">
            <v>3.8959678427144939E-3</v>
          </cell>
        </row>
        <row r="609">
          <cell r="B609" t="str">
            <v>RHEM-SHSTG-CHPWOD</v>
          </cell>
          <cell r="C609" t="str">
            <v>VAR_fin</v>
          </cell>
          <cell r="D609" t="str">
            <v>AUX_REM-CHPWOD_IN</v>
          </cell>
          <cell r="E609">
            <v>2.9129508784538576E-4</v>
          </cell>
          <cell r="F609">
            <v>1.3997001475843905E-4</v>
          </cell>
          <cell r="G609">
            <v>1.1555215259684234E-4</v>
          </cell>
          <cell r="H609">
            <v>3.5941321017688528E-4</v>
          </cell>
          <cell r="I609">
            <v>1.9467383019555799E-2</v>
          </cell>
          <cell r="J609">
            <v>4.3312072548814797E-3</v>
          </cell>
        </row>
        <row r="610">
          <cell r="B610" t="str">
            <v>RHEM-SHSTG-CHPWOD</v>
          </cell>
          <cell r="C610" t="str">
            <v>VAR_fin</v>
          </cell>
          <cell r="D610" t="str">
            <v>RHEM_LTH_CHPWOD</v>
          </cell>
          <cell r="E610">
            <v>2.9129508784538576E-4</v>
          </cell>
          <cell r="F610">
            <v>1.3997001475843905E-4</v>
          </cell>
          <cell r="G610">
            <v>1.1555215259684234E-4</v>
          </cell>
          <cell r="H610">
            <v>3.5941321017688528E-4</v>
          </cell>
          <cell r="I610">
            <v>1.9467383019555799E-2</v>
          </cell>
          <cell r="J610">
            <v>4.3312072548814797E-3</v>
          </cell>
        </row>
        <row r="611">
          <cell r="B611" t="str">
            <v>RHEM-SHSTG-CHPWOD</v>
          </cell>
          <cell r="C611" t="str">
            <v>VAR_ncap</v>
          </cell>
          <cell r="D611" t="str">
            <v>-</v>
          </cell>
          <cell r="E611">
            <v>1.1580556373279999E-3</v>
          </cell>
          <cell r="F611">
            <v>2.4941280070646701E-5</v>
          </cell>
          <cell r="G611">
            <v>3.1881372296723298E-5</v>
          </cell>
          <cell r="H611">
            <v>6.7708561185184405E-5</v>
          </cell>
          <cell r="I611">
            <v>9.5429685670535402E-3</v>
          </cell>
          <cell r="J611">
            <v>2.3400674610397698E-5</v>
          </cell>
        </row>
        <row r="612">
          <cell r="B612" t="str">
            <v>RHEM-SHSTG-CHPWOD</v>
          </cell>
          <cell r="C612" t="str">
            <v>VAR_cap</v>
          </cell>
          <cell r="D612" t="str">
            <v>-</v>
          </cell>
          <cell r="E612">
            <v>1.1580556373279999E-3</v>
          </cell>
          <cell r="F612">
            <v>1.1796796516062892E-3</v>
          </cell>
          <cell r="G612">
            <v>1.2030437289807267E-3</v>
          </cell>
          <cell r="H612">
            <v>1.2583264433276159E-3</v>
          </cell>
          <cell r="I612">
            <v>1.1997489459746245E-2</v>
          </cell>
          <cell r="J612">
            <v>2.7262388669185402E-3</v>
          </cell>
        </row>
        <row r="613">
          <cell r="B613" t="str">
            <v>G-INTC-EXP00-FR</v>
          </cell>
          <cell r="C613" t="str">
            <v>VAR_fout</v>
          </cell>
          <cell r="D613" t="str">
            <v>ELC_E-FR</v>
          </cell>
          <cell r="E613">
            <v>12.753365144021915</v>
          </cell>
          <cell r="F613">
            <v>3.4775920317069332E-4</v>
          </cell>
          <cell r="G613">
            <v>3.3882670347765674E-4</v>
          </cell>
          <cell r="H613">
            <v>1.8029857044013256E-4</v>
          </cell>
          <cell r="I613">
            <v>7.0452037929413455E-4</v>
          </cell>
          <cell r="J613">
            <v>3.9071524506130564E-4</v>
          </cell>
        </row>
        <row r="614">
          <cell r="B614" t="str">
            <v>G-INTC-EXP00-FR</v>
          </cell>
          <cell r="C614" t="str">
            <v>VAR_fin</v>
          </cell>
          <cell r="D614" t="str">
            <v>ELC</v>
          </cell>
          <cell r="E614">
            <v>12.753365144021915</v>
          </cell>
          <cell r="F614">
            <v>3.4775920317069332E-4</v>
          </cell>
          <cell r="G614">
            <v>3.3882670347765674E-4</v>
          </cell>
          <cell r="H614">
            <v>1.8029857044013256E-4</v>
          </cell>
          <cell r="I614">
            <v>7.0452037929413455E-4</v>
          </cell>
          <cell r="J614">
            <v>3.9071524506130564E-4</v>
          </cell>
        </row>
        <row r="615">
          <cell r="B615" t="str">
            <v>G-INTC-EXP00-FR</v>
          </cell>
          <cell r="C615" t="str">
            <v>VAR_ncap</v>
          </cell>
          <cell r="D615" t="str">
            <v>-</v>
          </cell>
          <cell r="E615">
            <v>5.44665119182198E-7</v>
          </cell>
          <cell r="F615">
            <v>4.7074118950987701E-7</v>
          </cell>
          <cell r="G615">
            <v>6.1693272960229496E-7</v>
          </cell>
          <cell r="H615">
            <v>8.2765169703054405E-7</v>
          </cell>
          <cell r="I615">
            <v>8.0610111726050003E-7</v>
          </cell>
          <cell r="J615">
            <v>1.2460124987281699E-6</v>
          </cell>
        </row>
        <row r="616">
          <cell r="B616" t="str">
            <v>G-INTC-EXP00-FR</v>
          </cell>
          <cell r="C616" t="str">
            <v>VAR_cap</v>
          </cell>
          <cell r="D616" t="str">
            <v>-</v>
          </cell>
          <cell r="E616">
            <v>1.2999973891375936</v>
          </cell>
          <cell r="F616">
            <v>4.333444683599641E-4</v>
          </cell>
          <cell r="G616">
            <v>4.316076096899657E-4</v>
          </cell>
          <cell r="H616">
            <v>4.310730704424337E-4</v>
          </cell>
          <cell r="I616">
            <v>4.3136148962541476E-4</v>
          </cell>
          <cell r="J616">
            <v>4.3205742875729314E-4</v>
          </cell>
        </row>
        <row r="617">
          <cell r="B617" t="str">
            <v>RHNM-EBAT</v>
          </cell>
          <cell r="C617" t="str">
            <v>VAR_fout</v>
          </cell>
          <cell r="D617" t="str">
            <v>RHNM_ELC</v>
          </cell>
          <cell r="E617">
            <v>6.3227012116912941E-4</v>
          </cell>
          <cell r="F617">
            <v>6.2511428267384339E-4</v>
          </cell>
          <cell r="G617">
            <v>6.2807061657120349E-4</v>
          </cell>
          <cell r="H617">
            <v>8.9281761188771507E-3</v>
          </cell>
          <cell r="I617">
            <v>1.1554806337395914E-2</v>
          </cell>
          <cell r="J617">
            <v>6.9739407391650673E-3</v>
          </cell>
        </row>
        <row r="618">
          <cell r="B618" t="str">
            <v>RHNM-EBAT</v>
          </cell>
          <cell r="C618" t="str">
            <v>VAR_fout</v>
          </cell>
          <cell r="D618" t="str">
            <v>AUX_RHNM-EBAT_OUT</v>
          </cell>
          <cell r="E618">
            <v>6.3227012116913017E-4</v>
          </cell>
          <cell r="F618">
            <v>6.2511428267384382E-4</v>
          </cell>
          <cell r="G618">
            <v>6.2807061657120424E-4</v>
          </cell>
          <cell r="H618">
            <v>8.9281761188771559E-3</v>
          </cell>
          <cell r="I618">
            <v>1.1554806337395919E-2</v>
          </cell>
          <cell r="J618">
            <v>6.9739407391650726E-3</v>
          </cell>
        </row>
        <row r="619">
          <cell r="B619" t="str">
            <v>RHNM-EBAT</v>
          </cell>
          <cell r="C619" t="str">
            <v>VAR_fin</v>
          </cell>
          <cell r="D619" t="str">
            <v>RHNM_ELC</v>
          </cell>
          <cell r="E619">
            <v>7.0925100257659306E-4</v>
          </cell>
          <cell r="F619">
            <v>6.9967967421034048E-4</v>
          </cell>
          <cell r="G619">
            <v>6.9586820446174526E-4</v>
          </cell>
          <cell r="H619">
            <v>9.8753465570381536E-3</v>
          </cell>
          <cell r="I619">
            <v>1.2778845432770804E-2</v>
          </cell>
          <cell r="J619">
            <v>7.7130274308224783E-3</v>
          </cell>
        </row>
        <row r="620">
          <cell r="B620" t="str">
            <v>RHNM-EBAT</v>
          </cell>
          <cell r="C620" t="str">
            <v>VAR_fin</v>
          </cell>
          <cell r="D620" t="str">
            <v>AUX_RHNM-EBAT_IN</v>
          </cell>
          <cell r="E620">
            <v>7.0925100257659306E-4</v>
          </cell>
          <cell r="F620">
            <v>6.9967967421034048E-4</v>
          </cell>
          <cell r="G620">
            <v>6.9586820446174526E-4</v>
          </cell>
          <cell r="H620">
            <v>9.8753465570381536E-3</v>
          </cell>
          <cell r="I620">
            <v>1.2778845432770804E-2</v>
          </cell>
          <cell r="J620">
            <v>7.7130274308224783E-3</v>
          </cell>
        </row>
        <row r="621">
          <cell r="B621" t="str">
            <v>RHNM-EBAT</v>
          </cell>
          <cell r="C621" t="str">
            <v>VAR_ncap</v>
          </cell>
          <cell r="D621" t="str">
            <v>-</v>
          </cell>
          <cell r="E621">
            <v>2.53687483979535E-4</v>
          </cell>
          <cell r="F621">
            <v>3.8284366304950601E-7</v>
          </cell>
          <cell r="G621">
            <v>1.24427632635071E-6</v>
          </cell>
          <cell r="H621">
            <v>6.2734796264045196E-3</v>
          </cell>
          <cell r="I621">
            <v>3.3398585413641898E-3</v>
          </cell>
          <cell r="J621">
            <v>1.11997704739575E-3</v>
          </cell>
        </row>
        <row r="622">
          <cell r="B622" t="str">
            <v>RHNM-EBAT</v>
          </cell>
          <cell r="C622" t="str">
            <v>VAR_cap</v>
          </cell>
          <cell r="D622" t="str">
            <v>-</v>
          </cell>
          <cell r="E622">
            <v>2.5640873472245563E-4</v>
          </cell>
          <cell r="F622">
            <v>2.5666439101311873E-4</v>
          </cell>
          <cell r="G622">
            <v>2.5768006484919441E-4</v>
          </cell>
          <cell r="H622">
            <v>6.4603339381842043E-3</v>
          </cell>
          <cell r="I622">
            <v>4.816784622333193E-3</v>
          </cell>
          <cell r="J622">
            <v>2.8590106054629571E-3</v>
          </cell>
        </row>
        <row r="623">
          <cell r="B623" t="str">
            <v>ITOT-CHPWST</v>
          </cell>
          <cell r="C623" t="str">
            <v>VAR_fout</v>
          </cell>
          <cell r="D623" t="str">
            <v>ITOT_LTH_CHP</v>
          </cell>
          <cell r="E623">
            <v>1.9348446338597027</v>
          </cell>
          <cell r="F623">
            <v>1.8587815010417565</v>
          </cell>
          <cell r="G623">
            <v>2.5502954568700198</v>
          </cell>
          <cell r="H623">
            <v>2.2433433503462705</v>
          </cell>
          <cell r="I623">
            <v>1.102499239744883</v>
          </cell>
          <cell r="J623">
            <v>2.0949859311189032E-4</v>
          </cell>
        </row>
        <row r="624">
          <cell r="B624" t="str">
            <v>ITOT-CHPWST</v>
          </cell>
          <cell r="C624" t="str">
            <v>VAR_fout</v>
          </cell>
          <cell r="D624" t="str">
            <v>ITOT_KEV_WST_ELC_CHP</v>
          </cell>
          <cell r="E624">
            <v>0.23004774028680994</v>
          </cell>
          <cell r="F624">
            <v>0.23015933604500072</v>
          </cell>
          <cell r="G624">
            <v>0.33670705432740033</v>
          </cell>
          <cell r="H624">
            <v>0.33294742670362881</v>
          </cell>
          <cell r="I624">
            <v>0.21766846304028453</v>
          </cell>
          <cell r="J624">
            <v>6.1758054453918466E-5</v>
          </cell>
        </row>
        <row r="625">
          <cell r="B625" t="str">
            <v>ITOT-CHPWST</v>
          </cell>
          <cell r="C625" t="str">
            <v>VAR_fout</v>
          </cell>
          <cell r="D625" t="str">
            <v>CO2_I</v>
          </cell>
          <cell r="E625">
            <v>344.47157146004901</v>
          </cell>
          <cell r="F625">
            <v>344.64607831159702</v>
          </cell>
          <cell r="G625">
            <v>504.19684095361401</v>
          </cell>
          <cell r="H625">
            <v>498.56704393360798</v>
          </cell>
          <cell r="I625">
            <v>325.94431874725598</v>
          </cell>
          <cell r="J625">
            <v>9.2478656324287895E-2</v>
          </cell>
        </row>
        <row r="626">
          <cell r="B626" t="str">
            <v>ITOT-CHPWST</v>
          </cell>
          <cell r="C626" t="str">
            <v>VAR_fin</v>
          </cell>
          <cell r="D626" t="str">
            <v>IWST</v>
          </cell>
          <cell r="E626">
            <v>3.7119781407332888</v>
          </cell>
          <cell r="F626">
            <v>3.7138586024956575</v>
          </cell>
          <cell r="G626">
            <v>5.4331556137242965</v>
          </cell>
          <cell r="H626">
            <v>5.3724896975604262</v>
          </cell>
          <cell r="I626">
            <v>3.5123310209833671</v>
          </cell>
          <cell r="J626">
            <v>9.965372448737912E-4</v>
          </cell>
        </row>
        <row r="627">
          <cell r="B627" t="str">
            <v>ITOT-CHPWST</v>
          </cell>
          <cell r="C627" t="str">
            <v>VAR_ncap</v>
          </cell>
          <cell r="D627" t="str">
            <v>-</v>
          </cell>
          <cell r="F627">
            <v>1.4499950301002401E-7</v>
          </cell>
          <cell r="G627">
            <v>3.2454044990851701E-7</v>
          </cell>
          <cell r="H627">
            <v>1.54702533658036E-3</v>
          </cell>
          <cell r="I627">
            <v>5.9391983765624602E-8</v>
          </cell>
          <cell r="J627">
            <v>1.6803537752787801E-8</v>
          </cell>
        </row>
        <row r="628">
          <cell r="B628" t="str">
            <v>ITOT-CHPWST</v>
          </cell>
          <cell r="C628" t="str">
            <v>VAR_cap</v>
          </cell>
          <cell r="D628" t="str">
            <v>-</v>
          </cell>
          <cell r="E628">
            <v>4.8937796537845191E-2</v>
          </cell>
          <cell r="F628">
            <v>1.3706189139121007E-2</v>
          </cell>
          <cell r="G628">
            <v>1.3706311530876217E-2</v>
          </cell>
          <cell r="H628">
            <v>1.3545877000851778E-2</v>
          </cell>
          <cell r="I628">
            <v>1.2588528722326887E-2</v>
          </cell>
          <cell r="J628">
            <v>5.6365471287610561E-5</v>
          </cell>
        </row>
        <row r="629">
          <cell r="B629" t="str">
            <v>CAES-EBAT</v>
          </cell>
          <cell r="C629" t="str">
            <v>VAR_fout</v>
          </cell>
          <cell r="D629" t="str">
            <v>ELC13</v>
          </cell>
          <cell r="E629">
            <v>9.4531388901035823E-2</v>
          </cell>
          <cell r="F629">
            <v>8.6469821436489149E-3</v>
          </cell>
          <cell r="G629">
            <v>9.4500223798924754E-2</v>
          </cell>
          <cell r="H629">
            <v>1.2309206137218578E-3</v>
          </cell>
          <cell r="I629">
            <v>9.4480211836220684E-2</v>
          </cell>
          <cell r="J629">
            <v>9.4493698035869642E-2</v>
          </cell>
        </row>
        <row r="630">
          <cell r="B630" t="str">
            <v>CAES-EBAT</v>
          </cell>
          <cell r="C630" t="str">
            <v>VAR_fout</v>
          </cell>
          <cell r="D630" t="str">
            <v>AUX_CAES_OUT</v>
          </cell>
          <cell r="E630">
            <v>9.4531388901035768E-2</v>
          </cell>
          <cell r="F630">
            <v>8.6469821436489062E-3</v>
          </cell>
          <cell r="G630">
            <v>9.4500223798924657E-2</v>
          </cell>
          <cell r="H630">
            <v>1.2309206137218569E-3</v>
          </cell>
          <cell r="I630">
            <v>9.4480211836220573E-2</v>
          </cell>
          <cell r="J630">
            <v>9.4493698035869558E-2</v>
          </cell>
        </row>
        <row r="631">
          <cell r="B631" t="str">
            <v>CAES-EBAT</v>
          </cell>
          <cell r="C631" t="str">
            <v>VAR_fin</v>
          </cell>
          <cell r="D631" t="str">
            <v>ELC13</v>
          </cell>
          <cell r="E631">
            <v>0.13506493272719383</v>
          </cell>
          <cell r="F631">
            <v>1.236334824046904E-2</v>
          </cell>
          <cell r="G631">
            <v>0.13500108172111264</v>
          </cell>
          <cell r="H631">
            <v>1.7617361413801661E-3</v>
          </cell>
          <cell r="I631">
            <v>0.13497599750949305</v>
          </cell>
          <cell r="J631">
            <v>0.13499382256419093</v>
          </cell>
        </row>
        <row r="632">
          <cell r="B632" t="str">
            <v>CAES-EBAT</v>
          </cell>
          <cell r="C632" t="str">
            <v>VAR_fin</v>
          </cell>
          <cell r="D632" t="str">
            <v>AUX_CAES_IN</v>
          </cell>
          <cell r="E632">
            <v>0.13506493272719383</v>
          </cell>
          <cell r="F632">
            <v>1.236334824046904E-2</v>
          </cell>
          <cell r="G632">
            <v>0.13500108172111264</v>
          </cell>
          <cell r="H632">
            <v>1.7617361413801661E-3</v>
          </cell>
          <cell r="I632">
            <v>0.13497599750949305</v>
          </cell>
          <cell r="J632">
            <v>0.13499382256419093</v>
          </cell>
        </row>
        <row r="633">
          <cell r="B633" t="str">
            <v>CAES-EBAT</v>
          </cell>
          <cell r="C633" t="str">
            <v>VAR_ncap</v>
          </cell>
          <cell r="D633" t="str">
            <v>-</v>
          </cell>
          <cell r="F633">
            <v>1.2309491483494699E-7</v>
          </cell>
          <cell r="G633">
            <v>1.37694582436461E-7</v>
          </cell>
          <cell r="H633">
            <v>1.4738179546961401E-7</v>
          </cell>
          <cell r="I633">
            <v>4.8874385157111897E-7</v>
          </cell>
          <cell r="J633">
            <v>2.79902136812215E-7</v>
          </cell>
        </row>
        <row r="634">
          <cell r="B634" t="str">
            <v>CAES-EBAT</v>
          </cell>
          <cell r="C634" t="str">
            <v>VAR_cap</v>
          </cell>
          <cell r="D634" t="str">
            <v>-</v>
          </cell>
          <cell r="E634">
            <v>0.1</v>
          </cell>
          <cell r="F634">
            <v>9.9998763887707426E-2</v>
          </cell>
          <cell r="G634">
            <v>9.999855486009944E-2</v>
          </cell>
          <cell r="H634">
            <v>9.9998460443221762E-2</v>
          </cell>
          <cell r="I634">
            <v>9.9999075428334402E-2</v>
          </cell>
          <cell r="J634">
            <v>9.9999446747895751E-2</v>
          </cell>
        </row>
        <row r="635">
          <cell r="B635" t="str">
            <v>HPLSOL</v>
          </cell>
          <cell r="C635" t="str">
            <v>VAR_fout</v>
          </cell>
          <cell r="D635" t="str">
            <v>LTH</v>
          </cell>
          <cell r="H635">
            <v>2.6913267473530945E-5</v>
          </cell>
          <cell r="I635">
            <v>2.5827872756070842E-5</v>
          </cell>
          <cell r="J635">
            <v>2.6243669332189611E-5</v>
          </cell>
        </row>
        <row r="636">
          <cell r="B636" t="str">
            <v>HPLSOL</v>
          </cell>
          <cell r="C636" t="str">
            <v>VAR_fin</v>
          </cell>
          <cell r="D636" t="str">
            <v>SOL</v>
          </cell>
          <cell r="H636">
            <v>2.6913267473530945E-5</v>
          </cell>
          <cell r="I636">
            <v>2.5827872756070842E-5</v>
          </cell>
          <cell r="J636">
            <v>2.6243669332189611E-5</v>
          </cell>
        </row>
        <row r="637">
          <cell r="B637" t="str">
            <v>HPLSOL</v>
          </cell>
          <cell r="C637" t="str">
            <v>VAR_fin</v>
          </cell>
          <cell r="D637" t="str">
            <v>SOLPVC</v>
          </cell>
          <cell r="H637">
            <v>2.6913267473530901E-5</v>
          </cell>
          <cell r="I637">
            <v>2.5827872756070801E-5</v>
          </cell>
          <cell r="J637">
            <v>2.6243669332189601E-5</v>
          </cell>
        </row>
        <row r="638">
          <cell r="B638" t="str">
            <v>HPLSOL</v>
          </cell>
          <cell r="C638" t="str">
            <v>VAR_ncap</v>
          </cell>
          <cell r="D638" t="str">
            <v>-</v>
          </cell>
          <cell r="H638">
            <v>4.9130392280711802E-6</v>
          </cell>
          <cell r="I638">
            <v>2.9115631813326899E-7</v>
          </cell>
          <cell r="J638">
            <v>2.54081710024602E-6</v>
          </cell>
        </row>
        <row r="639">
          <cell r="B639" t="str">
            <v>HPLSOL</v>
          </cell>
          <cell r="C639" t="str">
            <v>VAR_cap</v>
          </cell>
          <cell r="D639" t="str">
            <v>-</v>
          </cell>
          <cell r="H639">
            <v>4.9130392280711802E-6</v>
          </cell>
          <cell r="I639">
            <v>6.4413283012912401E-6</v>
          </cell>
          <cell r="J639">
            <v>5.0953624846099097E-6</v>
          </cell>
        </row>
        <row r="640">
          <cell r="B640" t="str">
            <v>RHEM-CHPNGA</v>
          </cell>
          <cell r="C640" t="str">
            <v>VAR_fout</v>
          </cell>
          <cell r="D640" t="str">
            <v>CO2_R</v>
          </cell>
          <cell r="E640">
            <v>5.8572435796209303</v>
          </cell>
          <cell r="F640">
            <v>8.2989485581409994</v>
          </cell>
          <cell r="G640">
            <v>8.3745965820713604</v>
          </cell>
          <cell r="H640">
            <v>32.941915067691497</v>
          </cell>
          <cell r="I640">
            <v>13.3130900575065</v>
          </cell>
        </row>
        <row r="641">
          <cell r="B641" t="str">
            <v>RHEM-CHPNGA</v>
          </cell>
          <cell r="C641" t="str">
            <v>VAR_fout</v>
          </cell>
          <cell r="D641" t="str">
            <v>RHEM_LTH_CHPNGA</v>
          </cell>
          <cell r="E641">
            <v>6.021673180635724E-2</v>
          </cell>
          <cell r="F641">
            <v>9.2421179169754522E-2</v>
          </cell>
          <cell r="G641">
            <v>9.1494955084082702E-2</v>
          </cell>
          <cell r="H641">
            <v>0.36167632987348797</v>
          </cell>
          <cell r="I641">
            <v>0.14472077785140847</v>
          </cell>
        </row>
        <row r="642">
          <cell r="B642" t="str">
            <v>RHEM-CHPNGA</v>
          </cell>
          <cell r="C642" t="str">
            <v>VAR_fout</v>
          </cell>
          <cell r="D642" t="str">
            <v>RHEM_NKEV_GAS_ELC_CHP</v>
          </cell>
          <cell r="E642">
            <v>2.7718813053719971E-2</v>
          </cell>
          <cell r="F642">
            <v>4.2961330347128804E-2</v>
          </cell>
          <cell r="G642">
            <v>4.3167359502793823E-2</v>
          </cell>
          <cell r="H642">
            <v>0.1750046757452359</v>
          </cell>
          <cell r="I642">
            <v>7.1772093080779739E-2</v>
          </cell>
        </row>
        <row r="643">
          <cell r="B643" t="str">
            <v>RHEM-CHPNGA</v>
          </cell>
          <cell r="C643" t="str">
            <v>VAR_fin</v>
          </cell>
          <cell r="D643" t="str">
            <v>RNGA</v>
          </cell>
          <cell r="E643">
            <v>0.10385183651810148</v>
          </cell>
          <cell r="F643">
            <v>0.14714447798122354</v>
          </cell>
          <cell r="G643">
            <v>0.14848575500126518</v>
          </cell>
          <cell r="H643">
            <v>0.58407650829240132</v>
          </cell>
          <cell r="I643">
            <v>0.23604769605507983</v>
          </cell>
        </row>
        <row r="644">
          <cell r="B644" t="str">
            <v>RHEM-CHPNGA</v>
          </cell>
          <cell r="C644" t="str">
            <v>VAR_ncap</v>
          </cell>
          <cell r="D644" t="str">
            <v>-</v>
          </cell>
          <cell r="F644">
            <v>4.6357412746096498E-3</v>
          </cell>
        </row>
        <row r="645">
          <cell r="B645" t="str">
            <v>RHEM-CHPNGA</v>
          </cell>
          <cell r="C645" t="str">
            <v>VAR_cap</v>
          </cell>
          <cell r="D645" t="str">
            <v>-</v>
          </cell>
          <cell r="E645">
            <v>8.3725971071547511E-3</v>
          </cell>
          <cell r="F645">
            <v>1.2985453193653781E-2</v>
          </cell>
          <cell r="G645">
            <v>1.298571251562059E-2</v>
          </cell>
          <cell r="H645">
            <v>1.2985770256360083E-2</v>
          </cell>
          <cell r="I645">
            <v>5.3254242951967174E-3</v>
          </cell>
        </row>
        <row r="646">
          <cell r="B646" t="str">
            <v>D-DH2</v>
          </cell>
          <cell r="C646" t="str">
            <v>VAR_fout</v>
          </cell>
          <cell r="D646" t="str">
            <v>H2</v>
          </cell>
          <cell r="H646">
            <v>1.1953810834778427E-6</v>
          </cell>
          <cell r="I646">
            <v>0.85957281707519195</v>
          </cell>
          <cell r="J646">
            <v>1.1985817127736926</v>
          </cell>
        </row>
        <row r="647">
          <cell r="B647" t="str">
            <v>D-DH2</v>
          </cell>
          <cell r="C647" t="str">
            <v>VAR_fin</v>
          </cell>
          <cell r="D647" t="str">
            <v>H2_E</v>
          </cell>
          <cell r="H647">
            <v>1.2074556398766084E-6</v>
          </cell>
          <cell r="I647">
            <v>0.86825537078302217</v>
          </cell>
          <cell r="J647">
            <v>1.2106885987613063</v>
          </cell>
        </row>
        <row r="648">
          <cell r="B648" t="str">
            <v>D-DH2</v>
          </cell>
          <cell r="C648" t="str">
            <v>VAR_ncap</v>
          </cell>
          <cell r="D648" t="str">
            <v>-</v>
          </cell>
          <cell r="H648">
            <v>1.9745970528279099E-5</v>
          </cell>
          <cell r="I648">
            <v>0.115399542585015</v>
          </cell>
          <cell r="J648">
            <v>4.5522904124833001E-2</v>
          </cell>
        </row>
        <row r="649">
          <cell r="B649" t="str">
            <v>D-DH2</v>
          </cell>
          <cell r="C649" t="str">
            <v>VAR_cap</v>
          </cell>
          <cell r="D649" t="str">
            <v>-</v>
          </cell>
          <cell r="H649">
            <v>1.9745970528279099E-5</v>
          </cell>
          <cell r="I649">
            <v>0.115445162840716</v>
          </cell>
          <cell r="J649">
            <v>0.16096806696554899</v>
          </cell>
        </row>
        <row r="650">
          <cell r="B650" t="str">
            <v>D-SBIO</v>
          </cell>
          <cell r="C650" t="str">
            <v>VAR_fout</v>
          </cell>
          <cell r="D650" t="str">
            <v>SBIO</v>
          </cell>
          <cell r="E650">
            <v>4.0476852414126991</v>
          </cell>
          <cell r="F650">
            <v>4.5833316072411998</v>
          </cell>
          <cell r="G650">
            <v>3.0417637181646247</v>
          </cell>
          <cell r="H650">
            <v>3.0320897198442722</v>
          </cell>
          <cell r="I650">
            <v>2.9496715730923984</v>
          </cell>
          <cell r="J650">
            <v>2.8713449196002001</v>
          </cell>
        </row>
        <row r="651">
          <cell r="B651" t="str">
            <v>D-SBIO</v>
          </cell>
          <cell r="C651" t="str">
            <v>VAR_fin</v>
          </cell>
          <cell r="D651" t="str">
            <v>BIO</v>
          </cell>
          <cell r="E651">
            <v>4.0476852414126991</v>
          </cell>
          <cell r="F651">
            <v>4.5833316072411998</v>
          </cell>
          <cell r="G651">
            <v>3.0417637181646247</v>
          </cell>
          <cell r="H651">
            <v>3.0320897198442722</v>
          </cell>
          <cell r="I651">
            <v>2.9496715730923984</v>
          </cell>
          <cell r="J651">
            <v>2.8713449196002001</v>
          </cell>
        </row>
        <row r="652">
          <cell r="B652" t="str">
            <v>SCOM-CHPBIO</v>
          </cell>
          <cell r="C652" t="str">
            <v>VAR_fout</v>
          </cell>
          <cell r="D652" t="str">
            <v>SCOM_LTH_CHPBIO</v>
          </cell>
          <cell r="E652">
            <v>1.4243236902651357</v>
          </cell>
          <cell r="F652">
            <v>1.5783245600643179</v>
          </cell>
          <cell r="G652">
            <v>1.4829184121817161</v>
          </cell>
          <cell r="H652">
            <v>1.3239157289550172</v>
          </cell>
          <cell r="I652">
            <v>1.0059124917782782</v>
          </cell>
          <cell r="J652">
            <v>1.0059100002944816</v>
          </cell>
        </row>
        <row r="653">
          <cell r="B653" t="str">
            <v>SCOM-CHPBIO</v>
          </cell>
          <cell r="C653" t="str">
            <v>VAR_fout</v>
          </cell>
          <cell r="D653" t="str">
            <v>SCOM_KEV_BIO_ELC_CHP</v>
          </cell>
          <cell r="E653">
            <v>0.95937493003076746</v>
          </cell>
          <cell r="F653">
            <v>1.1059442191052704</v>
          </cell>
          <cell r="G653">
            <v>1.10594113999872</v>
          </cell>
          <cell r="H653">
            <v>1.1059413230136084</v>
          </cell>
          <cell r="I653">
            <v>1.1059442707808418</v>
          </cell>
          <cell r="J653">
            <v>1.1059415423416161</v>
          </cell>
        </row>
        <row r="654">
          <cell r="B654" t="str">
            <v>SCOM-CHPBIO</v>
          </cell>
          <cell r="C654" t="str">
            <v>VAR_fin</v>
          </cell>
          <cell r="D654" t="str">
            <v>SBIO</v>
          </cell>
          <cell r="E654">
            <v>2.645402167280678</v>
          </cell>
          <cell r="F654">
            <v>3.046100719958055</v>
          </cell>
          <cell r="G654">
            <v>3.0417637181646247</v>
          </cell>
          <cell r="H654">
            <v>3.0320897198442722</v>
          </cell>
          <cell r="I654">
            <v>2.9496715730923984</v>
          </cell>
          <cell r="J654">
            <v>2.8713449196002001</v>
          </cell>
        </row>
        <row r="655">
          <cell r="B655" t="str">
            <v>SCOM-CHPBIO</v>
          </cell>
          <cell r="C655" t="str">
            <v>VAR_ncap</v>
          </cell>
          <cell r="D655" t="str">
            <v>-</v>
          </cell>
          <cell r="F655">
            <v>2.6187167714148401E-2</v>
          </cell>
          <cell r="G655">
            <v>6.5661149821336102E-3</v>
          </cell>
          <cell r="H655">
            <v>1.22253192199114E-2</v>
          </cell>
          <cell r="I655">
            <v>0.11349440171144</v>
          </cell>
          <cell r="J655">
            <v>2.45179766745548E-7</v>
          </cell>
        </row>
        <row r="656">
          <cell r="B656" t="str">
            <v>SCOM-CHPBIO</v>
          </cell>
          <cell r="C656" t="str">
            <v>VAR_cap</v>
          </cell>
          <cell r="D656" t="str">
            <v>-</v>
          </cell>
          <cell r="E656">
            <v>7.3512362003509982E-2</v>
          </cell>
          <cell r="F656">
            <v>8.47444154597779E-2</v>
          </cell>
          <cell r="G656">
            <v>8.4744211218139798E-2</v>
          </cell>
          <cell r="H656">
            <v>8.4744874061675204E-2</v>
          </cell>
          <cell r="I656">
            <v>0.16708733616548671</v>
          </cell>
          <cell r="J656">
            <v>0.10101249280652551</v>
          </cell>
        </row>
        <row r="657">
          <cell r="B657" t="str">
            <v>SCOM-CHPHFC</v>
          </cell>
          <cell r="C657" t="str">
            <v>VAR_fout</v>
          </cell>
          <cell r="D657" t="str">
            <v>SCOM_KEV_HFC_ELC_CHP</v>
          </cell>
          <cell r="H657">
            <v>5.0497043352455771E-4</v>
          </cell>
          <cell r="I657">
            <v>2.6663102262093213E-2</v>
          </cell>
          <cell r="J657">
            <v>1.7396335926737675E-2</v>
          </cell>
        </row>
        <row r="658">
          <cell r="B658" t="str">
            <v>SCOM-CHPHFC</v>
          </cell>
          <cell r="C658" t="str">
            <v>VAR_fout</v>
          </cell>
          <cell r="D658" t="str">
            <v>SCOM_LTH_CHPHFC</v>
          </cell>
          <cell r="H658">
            <v>3.8005669470532499E-4</v>
          </cell>
          <cell r="I658">
            <v>1.678737379925933E-2</v>
          </cell>
          <cell r="J658">
            <v>9.8324368105085179E-3</v>
          </cell>
        </row>
        <row r="659">
          <cell r="B659" t="str">
            <v>SCOM-CHPHFC</v>
          </cell>
          <cell r="C659" t="str">
            <v>VAR_fin</v>
          </cell>
          <cell r="D659" t="str">
            <v>RSH2</v>
          </cell>
          <cell r="H659">
            <v>1.0642852758979851E-3</v>
          </cell>
          <cell r="I659">
            <v>4.9376115300172593E-2</v>
          </cell>
          <cell r="J659">
            <v>3.0255057581488581E-2</v>
          </cell>
        </row>
        <row r="660">
          <cell r="B660" t="str">
            <v>SCOM-CHPHFC</v>
          </cell>
          <cell r="C660" t="str">
            <v>VAR_ncap</v>
          </cell>
          <cell r="D660" t="str">
            <v>-</v>
          </cell>
          <cell r="H660">
            <v>3.3110878423857199E-5</v>
          </cell>
          <cell r="I660">
            <v>1.52255352459468E-3</v>
          </cell>
          <cell r="J660">
            <v>1.78085385026085E-7</v>
          </cell>
        </row>
        <row r="661">
          <cell r="B661" t="str">
            <v>SCOM-CHPHFC</v>
          </cell>
          <cell r="C661" t="str">
            <v>VAR_cap</v>
          </cell>
          <cell r="D661" t="str">
            <v>-</v>
          </cell>
          <cell r="H661">
            <v>3.3110878423857199E-5</v>
          </cell>
          <cell r="I661">
            <v>1.5708854470067651E-3</v>
          </cell>
          <cell r="J661">
            <v>1.1159470036648368E-3</v>
          </cell>
        </row>
        <row r="662">
          <cell r="B662" t="str">
            <v>RHES-EBAT</v>
          </cell>
          <cell r="C662" t="str">
            <v>VAR_fout</v>
          </cell>
          <cell r="D662" t="str">
            <v>RHES_ELC</v>
          </cell>
          <cell r="E662">
            <v>6.3217361889163161E-4</v>
          </cell>
          <cell r="F662">
            <v>6.2502259758309426E-4</v>
          </cell>
          <cell r="G662">
            <v>6.2805934148297085E-4</v>
          </cell>
          <cell r="H662">
            <v>8.8962591439925975E-3</v>
          </cell>
          <cell r="I662">
            <v>1.1248160521592531E-2</v>
          </cell>
          <cell r="J662">
            <v>6.9260253417520101E-3</v>
          </cell>
        </row>
        <row r="663">
          <cell r="B663" t="str">
            <v>RHES-EBAT</v>
          </cell>
          <cell r="C663" t="str">
            <v>VAR_fout</v>
          </cell>
          <cell r="D663" t="str">
            <v>AUX_RHES-EBAT_OUT</v>
          </cell>
          <cell r="E663">
            <v>6.3217361889163226E-4</v>
          </cell>
          <cell r="F663">
            <v>6.250225975830948E-4</v>
          </cell>
          <cell r="G663">
            <v>6.2805934148297128E-4</v>
          </cell>
          <cell r="H663">
            <v>8.8962591439926009E-3</v>
          </cell>
          <cell r="I663">
            <v>1.1248160521592542E-2</v>
          </cell>
          <cell r="J663">
            <v>6.9260253417520188E-3</v>
          </cell>
        </row>
        <row r="664">
          <cell r="B664" t="str">
            <v>RHES-EBAT</v>
          </cell>
          <cell r="C664" t="str">
            <v>VAR_fin</v>
          </cell>
          <cell r="D664" t="str">
            <v>RHES_ELC</v>
          </cell>
          <cell r="E664">
            <v>7.0914428410518684E-4</v>
          </cell>
          <cell r="F664">
            <v>6.9957828289612717E-4</v>
          </cell>
          <cell r="G664">
            <v>6.9582605035376183E-4</v>
          </cell>
          <cell r="H664">
            <v>9.8390178874991352E-3</v>
          </cell>
          <cell r="I664">
            <v>1.2439736620123956E-2</v>
          </cell>
          <cell r="J664">
            <v>7.6600394796193473E-3</v>
          </cell>
        </row>
        <row r="665">
          <cell r="B665" t="str">
            <v>RHES-EBAT</v>
          </cell>
          <cell r="C665" t="str">
            <v>VAR_fin</v>
          </cell>
          <cell r="D665" t="str">
            <v>AUX_RHES-EBAT_IN</v>
          </cell>
          <cell r="E665">
            <v>7.0914428410518684E-4</v>
          </cell>
          <cell r="F665">
            <v>6.9957828289612717E-4</v>
          </cell>
          <cell r="G665">
            <v>6.9582605035376183E-4</v>
          </cell>
          <cell r="H665">
            <v>9.8390178874991352E-3</v>
          </cell>
          <cell r="I665">
            <v>1.2439736620123956E-2</v>
          </cell>
          <cell r="J665">
            <v>7.6600394796193473E-3</v>
          </cell>
        </row>
        <row r="666">
          <cell r="B666" t="str">
            <v>RHES-EBAT</v>
          </cell>
          <cell r="C666" t="str">
            <v>VAR_ncap</v>
          </cell>
          <cell r="D666" t="str">
            <v>-</v>
          </cell>
          <cell r="E666">
            <v>2.5364539947473399E-4</v>
          </cell>
          <cell r="F666">
            <v>3.82488830852629E-7</v>
          </cell>
          <cell r="G666">
            <v>1.24105104298127E-6</v>
          </cell>
          <cell r="H666">
            <v>6.2621642625981799E-3</v>
          </cell>
          <cell r="I666">
            <v>3.2150647568973999E-3</v>
          </cell>
          <cell r="J666">
            <v>1.16270738411708E-3</v>
          </cell>
        </row>
        <row r="667">
          <cell r="B667" t="str">
            <v>RHES-EBAT</v>
          </cell>
          <cell r="C667" t="str">
            <v>VAR_cap</v>
          </cell>
          <cell r="D667" t="str">
            <v>-</v>
          </cell>
          <cell r="E667">
            <v>2.5636659904314447E-4</v>
          </cell>
          <cell r="F667">
            <v>2.5662207021982884E-4</v>
          </cell>
          <cell r="G667">
            <v>2.5763318315286506E-4</v>
          </cell>
          <cell r="H667">
            <v>6.4489826864010643E-3</v>
          </cell>
          <cell r="I667">
            <v>4.6912654146386776E-3</v>
          </cell>
          <cell r="J667">
            <v>2.8393809286670936E-3</v>
          </cell>
        </row>
        <row r="668">
          <cell r="B668" t="str">
            <v>D-INGA</v>
          </cell>
          <cell r="C668" t="str">
            <v>VAR_fout</v>
          </cell>
          <cell r="D668" t="str">
            <v>CO2</v>
          </cell>
          <cell r="E668">
            <v>2101.4659029520699</v>
          </cell>
          <cell r="F668">
            <v>1712.26856998721</v>
          </cell>
          <cell r="G668">
            <v>1818.92425186937</v>
          </cell>
          <cell r="H668">
            <v>1280.3234489359199</v>
          </cell>
          <cell r="I668">
            <v>771.24238585446903</v>
          </cell>
          <cell r="J668">
            <v>115.419987734871</v>
          </cell>
        </row>
        <row r="669">
          <cell r="B669" t="str">
            <v>D-INGA</v>
          </cell>
          <cell r="C669" t="str">
            <v>VAR_fout</v>
          </cell>
          <cell r="D669" t="str">
            <v>IH2</v>
          </cell>
          <cell r="H669">
            <v>2.5832097161410536E-2</v>
          </cell>
          <cell r="I669">
            <v>0.22048455508477854</v>
          </cell>
          <cell r="J669">
            <v>0.14991582818302626</v>
          </cell>
        </row>
        <row r="670">
          <cell r="B670" t="str">
            <v>D-INGA</v>
          </cell>
          <cell r="C670" t="str">
            <v>VAR_fout</v>
          </cell>
          <cell r="D670" t="str">
            <v>INGA</v>
          </cell>
          <cell r="E670">
            <v>37.470446222307181</v>
          </cell>
          <cell r="F670">
            <v>30.262670621591631</v>
          </cell>
          <cell r="G670">
            <v>34.885870011250127</v>
          </cell>
          <cell r="H670">
            <v>25.434386386653909</v>
          </cell>
          <cell r="I670">
            <v>16.436219199804317</v>
          </cell>
          <cell r="J670">
            <v>4.8453715497322438</v>
          </cell>
        </row>
        <row r="671">
          <cell r="B671" t="str">
            <v>D-INGA</v>
          </cell>
          <cell r="C671" t="str">
            <v>VAR_fin</v>
          </cell>
          <cell r="D671" t="str">
            <v>NGA</v>
          </cell>
          <cell r="E671">
            <v>37.260033740284868</v>
          </cell>
          <cell r="F671">
            <v>30.359371808283917</v>
          </cell>
          <cell r="G671">
            <v>32.250429997683931</v>
          </cell>
          <cell r="H671">
            <v>22.700770371204143</v>
          </cell>
          <cell r="I671">
            <v>13.674510387490571</v>
          </cell>
          <cell r="J671">
            <v>2.0464536832424018</v>
          </cell>
        </row>
        <row r="672">
          <cell r="B672" t="str">
            <v>D-INGA</v>
          </cell>
          <cell r="C672" t="str">
            <v>VAR_fin</v>
          </cell>
          <cell r="D672" t="str">
            <v>BNGA</v>
          </cell>
          <cell r="E672">
            <v>0.33011630349750809</v>
          </cell>
          <cell r="F672">
            <v>4.9481535029329667E-5</v>
          </cell>
          <cell r="G672">
            <v>2.7468870972507311</v>
          </cell>
          <cell r="H672">
            <v>2.8150554980637281</v>
          </cell>
          <cell r="I672">
            <v>2.8150567270165405</v>
          </cell>
          <cell r="J672">
            <v>2.8150572967247003</v>
          </cell>
        </row>
        <row r="673">
          <cell r="B673" t="str">
            <v>D-INGA</v>
          </cell>
          <cell r="C673" t="str">
            <v>VAR_fin</v>
          </cell>
          <cell r="D673" t="str">
            <v>H2</v>
          </cell>
          <cell r="H673">
            <v>2.5830910353100152E-2</v>
          </cell>
          <cell r="I673">
            <v>0.22048437956068118</v>
          </cell>
          <cell r="J673">
            <v>0.14991566171940898</v>
          </cell>
        </row>
        <row r="674">
          <cell r="B674" t="str">
            <v>D-INGA</v>
          </cell>
          <cell r="C674" t="str">
            <v>VAR_ncap</v>
          </cell>
          <cell r="D674" t="str">
            <v>-</v>
          </cell>
          <cell r="E674">
            <v>5.6669069079969896E-7</v>
          </cell>
          <cell r="F674">
            <v>2.4662522685147799E-7</v>
          </cell>
          <cell r="G674">
            <v>3.2423052783516802E-7</v>
          </cell>
          <cell r="H674">
            <v>4.8846653862179505E-7</v>
          </cell>
          <cell r="I674">
            <v>1.4204261516483299E-6</v>
          </cell>
          <cell r="J674">
            <v>5.9370773476093999E-6</v>
          </cell>
        </row>
        <row r="675">
          <cell r="B675" t="str">
            <v>D-INGA</v>
          </cell>
          <cell r="C675" t="str">
            <v>VAR_cap</v>
          </cell>
          <cell r="D675" t="str">
            <v>-</v>
          </cell>
          <cell r="E675">
            <v>1.9844839369567908</v>
          </cell>
          <cell r="F675">
            <v>1.9844841835820177</v>
          </cell>
          <cell r="G675">
            <v>1.9844845078125455</v>
          </cell>
          <cell r="H675">
            <v>1.984484996279084</v>
          </cell>
          <cell r="I675">
            <v>1.9844873142418848</v>
          </cell>
          <cell r="J675">
            <v>1.0954693184990525</v>
          </cell>
        </row>
        <row r="676">
          <cell r="B676" t="str">
            <v>EWIND</v>
          </cell>
          <cell r="C676" t="str">
            <v>VAR_fout</v>
          </cell>
          <cell r="D676" t="str">
            <v>ELC35</v>
          </cell>
          <cell r="E676">
            <v>0.52400000000000047</v>
          </cell>
          <cell r="F676">
            <v>0.54529202407596833</v>
          </cell>
          <cell r="G676">
            <v>0.50316462240951687</v>
          </cell>
          <cell r="H676">
            <v>2.0502620649064438</v>
          </cell>
          <cell r="I676">
            <v>3.5228267551637362</v>
          </cell>
          <cell r="J676">
            <v>14.102832966782467</v>
          </cell>
        </row>
        <row r="677">
          <cell r="B677" t="str">
            <v>EWIND</v>
          </cell>
          <cell r="C677" t="str">
            <v>VAR_fin</v>
          </cell>
          <cell r="D677" t="str">
            <v>WND</v>
          </cell>
          <cell r="E677">
            <v>0.52400000000000047</v>
          </cell>
          <cell r="F677">
            <v>0.54529202407596833</v>
          </cell>
          <cell r="G677">
            <v>0.50316462240951687</v>
          </cell>
          <cell r="H677">
            <v>2.0502620649064438</v>
          </cell>
          <cell r="I677">
            <v>3.5228267551637362</v>
          </cell>
          <cell r="J677">
            <v>14.102832966782467</v>
          </cell>
        </row>
        <row r="678">
          <cell r="B678" t="str">
            <v>EWIND</v>
          </cell>
          <cell r="C678" t="str">
            <v>VAR_ncap</v>
          </cell>
          <cell r="D678" t="str">
            <v>-</v>
          </cell>
          <cell r="F678">
            <v>7.1321141341911497E-3</v>
          </cell>
          <cell r="G678">
            <v>0.40214467587499603</v>
          </cell>
          <cell r="H678">
            <v>0.17574985763318099</v>
          </cell>
          <cell r="I678">
            <v>6.5023429550865401E-6</v>
          </cell>
          <cell r="J678">
            <v>10.015634678562099</v>
          </cell>
        </row>
        <row r="679">
          <cell r="B679" t="str">
            <v>EWIND</v>
          </cell>
          <cell r="C679" t="str">
            <v>VAR_cap</v>
          </cell>
          <cell r="D679" t="str">
            <v>-</v>
          </cell>
          <cell r="E679">
            <v>8.7120000000000003E-2</v>
          </cell>
          <cell r="F679">
            <v>9.0660002170798351E-2</v>
          </cell>
          <cell r="G679">
            <v>8.3655919664727352E-2</v>
          </cell>
          <cell r="H679">
            <v>0.34087561369948233</v>
          </cell>
          <cell r="I679">
            <v>0.58570421775732773</v>
          </cell>
          <cell r="J679">
            <v>2.3447320174785999</v>
          </cell>
        </row>
        <row r="680">
          <cell r="B680" t="str">
            <v>EGEO</v>
          </cell>
          <cell r="C680" t="str">
            <v>VAR_fout</v>
          </cell>
          <cell r="D680" t="str">
            <v>ELC35</v>
          </cell>
          <cell r="I680">
            <v>8.3840257930779274E-2</v>
          </cell>
          <cell r="J680">
            <v>3.2071040292876409</v>
          </cell>
        </row>
        <row r="681">
          <cell r="B681" t="str">
            <v>EGEO</v>
          </cell>
          <cell r="C681" t="str">
            <v>VAR_fin</v>
          </cell>
          <cell r="D681" t="str">
            <v>GEO</v>
          </cell>
          <cell r="I681">
            <v>0.5589350528718614</v>
          </cell>
          <cell r="J681">
            <v>21.380693528584278</v>
          </cell>
        </row>
        <row r="682">
          <cell r="B682" t="str">
            <v>EGEO</v>
          </cell>
          <cell r="C682" t="str">
            <v>VAR_ncap</v>
          </cell>
          <cell r="D682" t="str">
            <v>-</v>
          </cell>
          <cell r="I682">
            <v>2.1251972455373701E-2</v>
          </cell>
          <cell r="J682">
            <v>0.18373456128576399</v>
          </cell>
        </row>
        <row r="683">
          <cell r="B683" t="str">
            <v>EGEO</v>
          </cell>
          <cell r="C683" t="str">
            <v>VAR_cap</v>
          </cell>
          <cell r="D683" t="str">
            <v>-</v>
          </cell>
          <cell r="I683">
            <v>3.3269956451800202E-3</v>
          </cell>
          <cell r="J683">
            <v>0.12726761607666789</v>
          </cell>
        </row>
        <row r="684">
          <cell r="B684" t="str">
            <v>D-SPLT</v>
          </cell>
          <cell r="C684" t="str">
            <v>VAR_fout</v>
          </cell>
          <cell r="D684" t="str">
            <v>SPLT</v>
          </cell>
          <cell r="E684">
            <v>2.0856385008996914</v>
          </cell>
          <cell r="F684">
            <v>2.4000947971937161</v>
          </cell>
          <cell r="G684">
            <v>0.99273747386311573</v>
          </cell>
          <cell r="H684">
            <v>1.2286335989559629</v>
          </cell>
          <cell r="I684">
            <v>1.4702029585535055</v>
          </cell>
          <cell r="J684">
            <v>1.2351741255803015</v>
          </cell>
        </row>
        <row r="685">
          <cell r="B685" t="str">
            <v>D-SPLT</v>
          </cell>
          <cell r="C685" t="str">
            <v>VAR_fin</v>
          </cell>
          <cell r="D685" t="str">
            <v>PLT</v>
          </cell>
          <cell r="E685">
            <v>2.0856385008996914</v>
          </cell>
          <cell r="F685">
            <v>2.4000947971937161</v>
          </cell>
          <cell r="G685">
            <v>0.99273747386311573</v>
          </cell>
          <cell r="H685">
            <v>1.2286335989559629</v>
          </cell>
          <cell r="I685">
            <v>1.4702029585535055</v>
          </cell>
          <cell r="J685">
            <v>1.2351741255803015</v>
          </cell>
        </row>
        <row r="686">
          <cell r="B686" t="str">
            <v>RHES-ESOLPV</v>
          </cell>
          <cell r="C686" t="str">
            <v>VAR_fout</v>
          </cell>
          <cell r="D686" t="str">
            <v>RHES_SOL_ELC</v>
          </cell>
          <cell r="E686">
            <v>2.1349390887346629</v>
          </cell>
          <cell r="F686">
            <v>3.3906651673160253</v>
          </cell>
          <cell r="G686">
            <v>4.0404861178290448</v>
          </cell>
          <cell r="H686">
            <v>4.3440916911487744</v>
          </cell>
          <cell r="I686">
            <v>1.5481607556170685</v>
          </cell>
          <cell r="J686">
            <v>1.2439797896344105E-3</v>
          </cell>
        </row>
        <row r="687">
          <cell r="B687" t="str">
            <v>RHES-ESOLPV</v>
          </cell>
          <cell r="C687" t="str">
            <v>VAR_fin</v>
          </cell>
          <cell r="D687" t="str">
            <v>SOL</v>
          </cell>
          <cell r="E687">
            <v>2.1349390887346629</v>
          </cell>
          <cell r="F687">
            <v>3.3906651673160253</v>
          </cell>
          <cell r="G687">
            <v>4.0404861178290448</v>
          </cell>
          <cell r="H687">
            <v>4.3440916911487744</v>
          </cell>
          <cell r="I687">
            <v>1.5481607556170685</v>
          </cell>
          <cell r="J687">
            <v>1.2439797896344105E-3</v>
          </cell>
        </row>
        <row r="688">
          <cell r="B688" t="str">
            <v>RHES-ESOLPV</v>
          </cell>
          <cell r="C688" t="str">
            <v>VAR_fin</v>
          </cell>
          <cell r="D688" t="str">
            <v>SOLPVC</v>
          </cell>
          <cell r="E688">
            <v>2.1349390887346602</v>
          </cell>
          <cell r="F688">
            <v>3.3906651673160302</v>
          </cell>
          <cell r="G688">
            <v>4.0404861178290403</v>
          </cell>
          <cell r="H688">
            <v>4.3440916911487699</v>
          </cell>
          <cell r="I688">
            <v>1.54816075561707</v>
          </cell>
          <cell r="J688">
            <v>1.24397978963441E-3</v>
          </cell>
        </row>
        <row r="689">
          <cell r="B689" t="str">
            <v>RHES-ESOLPV</v>
          </cell>
          <cell r="C689" t="str">
            <v>VAR_ncap</v>
          </cell>
          <cell r="D689" t="str">
            <v>-</v>
          </cell>
          <cell r="G689">
            <v>4.3273997405055702E-7</v>
          </cell>
          <cell r="H689">
            <v>4.3927779949173001E-7</v>
          </cell>
          <cell r="I689">
            <v>4.1158434507154298E-6</v>
          </cell>
          <cell r="J689">
            <v>3.5443152124494401E-4</v>
          </cell>
        </row>
        <row r="690">
          <cell r="B690" t="str">
            <v>RHES-ESOLPV</v>
          </cell>
          <cell r="C690" t="str">
            <v>VAR_cap</v>
          </cell>
          <cell r="D690" t="str">
            <v>-</v>
          </cell>
          <cell r="E690">
            <v>0.67885700000000004</v>
          </cell>
          <cell r="F690">
            <v>1.1558999176781499</v>
          </cell>
          <cell r="G690">
            <v>1.2891574327399742</v>
          </cell>
          <cell r="H690">
            <v>1.2522750370741536</v>
          </cell>
          <cell r="I690">
            <v>0.44629034668533962</v>
          </cell>
          <cell r="J690">
            <v>3.5951560846448098E-4</v>
          </cell>
        </row>
        <row r="691">
          <cell r="B691" t="str">
            <v>SUP_DAC</v>
          </cell>
          <cell r="C691" t="str">
            <v>VAR_fout</v>
          </cell>
          <cell r="D691" t="str">
            <v>CO2_O</v>
          </cell>
          <cell r="I691">
            <v>2.8106686053595521E-3</v>
          </cell>
          <cell r="J691">
            <v>9.9542328361672539E-3</v>
          </cell>
        </row>
        <row r="692">
          <cell r="B692" t="str">
            <v>SUP_DAC</v>
          </cell>
          <cell r="C692" t="str">
            <v>VAR_fout</v>
          </cell>
          <cell r="D692" t="str">
            <v>CO2</v>
          </cell>
          <cell r="I692">
            <v>-2.8106686053595499E-3</v>
          </cell>
          <cell r="J692">
            <v>-9.9542328361672608E-3</v>
          </cell>
        </row>
        <row r="693">
          <cell r="B693" t="str">
            <v>SUP_DAC</v>
          </cell>
          <cell r="C693" t="str">
            <v>VAR_fin</v>
          </cell>
          <cell r="D693" t="str">
            <v>CHEAT</v>
          </cell>
          <cell r="I693">
            <v>1.8688642398915311E-5</v>
          </cell>
          <cell r="J693">
            <v>6.3445995519702088E-5</v>
          </cell>
        </row>
        <row r="694">
          <cell r="B694" t="str">
            <v>SUP_DAC</v>
          </cell>
          <cell r="C694" t="str">
            <v>VAR_fin</v>
          </cell>
          <cell r="D694" t="str">
            <v>CELC</v>
          </cell>
          <cell r="I694">
            <v>3.8974604660985768E-6</v>
          </cell>
          <cell r="J694">
            <v>9.0583518809121955E-6</v>
          </cell>
        </row>
        <row r="695">
          <cell r="B695" t="str">
            <v>SUP_DAC</v>
          </cell>
          <cell r="C695" t="str">
            <v>VAR_ncap</v>
          </cell>
          <cell r="D695" t="str">
            <v>-</v>
          </cell>
          <cell r="I695">
            <v>7.8914355884236005E-4</v>
          </cell>
          <cell r="J695">
            <v>9.9758608394952698E-4</v>
          </cell>
        </row>
        <row r="696">
          <cell r="B696" t="str">
            <v>SUP_DAC</v>
          </cell>
          <cell r="C696" t="str">
            <v>VAR_cap</v>
          </cell>
          <cell r="D696" t="str">
            <v>-</v>
          </cell>
          <cell r="I696">
            <v>7.8914355884236005E-4</v>
          </cell>
          <cell r="J696">
            <v>1.5658182958797132E-3</v>
          </cell>
        </row>
        <row r="697">
          <cell r="B697" t="str">
            <v>EHYD-DAM10</v>
          </cell>
          <cell r="C697" t="str">
            <v>VAR_fout</v>
          </cell>
          <cell r="D697" t="str">
            <v>ELC</v>
          </cell>
          <cell r="F697">
            <v>6.156780478981389E-3</v>
          </cell>
          <cell r="G697">
            <v>3.6516977117141032E-2</v>
          </cell>
          <cell r="H697">
            <v>0.71765723805124471</v>
          </cell>
          <cell r="I697">
            <v>0.70701607088907337</v>
          </cell>
          <cell r="J697">
            <v>0.73328440146076257</v>
          </cell>
        </row>
        <row r="698">
          <cell r="B698" t="str">
            <v>EHYD-DAM10</v>
          </cell>
          <cell r="C698" t="str">
            <v>VAR_fin</v>
          </cell>
          <cell r="D698" t="str">
            <v>HYDD</v>
          </cell>
          <cell r="F698">
            <v>6.156780478981389E-3</v>
          </cell>
          <cell r="G698">
            <v>3.6516977117141032E-2</v>
          </cell>
          <cell r="H698">
            <v>0.71765723805124471</v>
          </cell>
          <cell r="I698">
            <v>0.70701607088907337</v>
          </cell>
          <cell r="J698">
            <v>0.73328440146076257</v>
          </cell>
        </row>
        <row r="699">
          <cell r="B699" t="str">
            <v>EHYD-DAM10</v>
          </cell>
          <cell r="C699" t="str">
            <v>VAR_ncap</v>
          </cell>
          <cell r="D699" t="str">
            <v>-</v>
          </cell>
          <cell r="F699">
            <v>7.8949961973021803E-4</v>
          </cell>
          <cell r="G699">
            <v>3.24518400837495E-3</v>
          </cell>
          <cell r="H699">
            <v>7.1257724713512299E-2</v>
          </cell>
          <cell r="I699">
            <v>2.3289422506310799E-7</v>
          </cell>
          <cell r="J699">
            <v>2.17395875656554E-8</v>
          </cell>
        </row>
        <row r="700">
          <cell r="B700" t="str">
            <v>EHYD-DAM10</v>
          </cell>
          <cell r="C700" t="str">
            <v>VAR_cap</v>
          </cell>
          <cell r="D700" t="str">
            <v>-</v>
          </cell>
          <cell r="F700">
            <v>7.8949961973021803E-4</v>
          </cell>
          <cell r="G700">
            <v>4.0346836281051702E-3</v>
          </cell>
          <cell r="H700">
            <v>7.5292408341617406E-2</v>
          </cell>
          <cell r="I700">
            <v>7.5298439637989004E-2</v>
          </cell>
          <cell r="J700">
            <v>7.5298461377576606E-2</v>
          </cell>
        </row>
        <row r="701">
          <cell r="B701" t="str">
            <v>DH-EBAT</v>
          </cell>
          <cell r="C701" t="str">
            <v>VAR_fout</v>
          </cell>
          <cell r="D701" t="str">
            <v>ELC35</v>
          </cell>
          <cell r="E701">
            <v>1.9569015821942911E-3</v>
          </cell>
          <cell r="F701">
            <v>1.572851164714189E-3</v>
          </cell>
          <cell r="G701">
            <v>1.9515578014451921E-3</v>
          </cell>
          <cell r="H701">
            <v>1.8053463265202279E-3</v>
          </cell>
          <cell r="I701">
            <v>9.9542570003764499E-3</v>
          </cell>
          <cell r="J701">
            <v>0.10584914149320672</v>
          </cell>
        </row>
        <row r="702">
          <cell r="B702" t="str">
            <v>DH-EBAT</v>
          </cell>
          <cell r="C702" t="str">
            <v>VAR_fout</v>
          </cell>
          <cell r="D702" t="str">
            <v>AUX_DH-EBAT_OUT</v>
          </cell>
          <cell r="E702">
            <v>1.9569015821942902E-3</v>
          </cell>
          <cell r="F702">
            <v>1.5728511647141884E-3</v>
          </cell>
          <cell r="G702">
            <v>1.9515578014451917E-3</v>
          </cell>
          <cell r="H702">
            <v>1.8053463265202271E-3</v>
          </cell>
          <cell r="I702">
            <v>9.9542570003764465E-3</v>
          </cell>
          <cell r="J702">
            <v>0.10584914149320666</v>
          </cell>
        </row>
        <row r="703">
          <cell r="B703" t="str">
            <v>DH-EBAT</v>
          </cell>
          <cell r="C703" t="str">
            <v>VAR_fin</v>
          </cell>
          <cell r="D703" t="str">
            <v>ELC35</v>
          </cell>
          <cell r="E703">
            <v>2.1912815736712197E-3</v>
          </cell>
          <cell r="F703">
            <v>1.7594033438018113E-3</v>
          </cell>
          <cell r="G703">
            <v>2.1836378512190891E-3</v>
          </cell>
          <cell r="H703">
            <v>2.0208240240355254E-3</v>
          </cell>
          <cell r="I703">
            <v>1.113167379718529E-2</v>
          </cell>
          <cell r="J703">
            <v>0.11836416622212388</v>
          </cell>
        </row>
        <row r="704">
          <cell r="B704" t="str">
            <v>DH-EBAT</v>
          </cell>
          <cell r="C704" t="str">
            <v>VAR_fin</v>
          </cell>
          <cell r="D704" t="str">
            <v>AUX_DH-EBAT_IN</v>
          </cell>
          <cell r="E704">
            <v>2.1912815736712197E-3</v>
          </cell>
          <cell r="F704">
            <v>1.7594033438018113E-3</v>
          </cell>
          <cell r="G704">
            <v>2.1836378512190891E-3</v>
          </cell>
          <cell r="H704">
            <v>2.0208240240355254E-3</v>
          </cell>
          <cell r="I704">
            <v>1.113167379718529E-2</v>
          </cell>
          <cell r="J704">
            <v>0.11836416622212388</v>
          </cell>
        </row>
        <row r="705">
          <cell r="B705" t="str">
            <v>DH-EBAT</v>
          </cell>
          <cell r="C705" t="str">
            <v>VAR_ncap</v>
          </cell>
          <cell r="D705" t="str">
            <v>-</v>
          </cell>
          <cell r="E705">
            <v>2.7142938404674298E-4</v>
          </cell>
          <cell r="F705">
            <v>3.68204827613681E-7</v>
          </cell>
          <cell r="G705">
            <v>1.5664280738423099E-6</v>
          </cell>
          <cell r="H705">
            <v>4.9056909363036403E-5</v>
          </cell>
          <cell r="I705">
            <v>1.7759821858087401E-3</v>
          </cell>
          <cell r="J705">
            <v>2.68671390530952E-2</v>
          </cell>
        </row>
        <row r="706">
          <cell r="B706" t="str">
            <v>DH-EBAT</v>
          </cell>
          <cell r="C706" t="str">
            <v>VAR_cap</v>
          </cell>
          <cell r="D706" t="str">
            <v>-</v>
          </cell>
          <cell r="E706">
            <v>2.7142938404674298E-4</v>
          </cell>
          <cell r="F706">
            <v>2.7161076786601208E-4</v>
          </cell>
          <cell r="G706">
            <v>2.7307528483876809E-4</v>
          </cell>
          <cell r="H706">
            <v>2.4925718783685844E-4</v>
          </cell>
          <cell r="I706">
            <v>2.1264382130650782E-3</v>
          </cell>
          <cell r="J706">
            <v>2.7817539501293169E-2</v>
          </cell>
        </row>
        <row r="707">
          <cell r="B707" t="str">
            <v>RHEM-EBAT</v>
          </cell>
          <cell r="C707" t="str">
            <v>VAR_fout</v>
          </cell>
          <cell r="D707" t="str">
            <v>RHEM_ELC</v>
          </cell>
          <cell r="E707">
            <v>6.3230118157634851E-4</v>
          </cell>
          <cell r="F707">
            <v>6.2513894925250225E-4</v>
          </cell>
          <cell r="G707">
            <v>6.2809472761030983E-4</v>
          </cell>
          <cell r="H707">
            <v>8.9282525927598198E-3</v>
          </cell>
          <cell r="I707">
            <v>1.1554978146659647E-2</v>
          </cell>
          <cell r="J707">
            <v>6.9740763240723116E-3</v>
          </cell>
        </row>
        <row r="708">
          <cell r="B708" t="str">
            <v>RHEM-EBAT</v>
          </cell>
          <cell r="C708" t="str">
            <v>VAR_fout</v>
          </cell>
          <cell r="D708" t="str">
            <v>AUX_RHEM-EBAT_OUT</v>
          </cell>
          <cell r="E708">
            <v>6.3230118157634938E-4</v>
          </cell>
          <cell r="F708">
            <v>6.2513894925250323E-4</v>
          </cell>
          <cell r="G708">
            <v>6.2809472761031038E-4</v>
          </cell>
          <cell r="H708">
            <v>8.9282525927598267E-3</v>
          </cell>
          <cell r="I708">
            <v>1.1554978146659661E-2</v>
          </cell>
          <cell r="J708">
            <v>6.9740763240723211E-3</v>
          </cell>
        </row>
        <row r="709">
          <cell r="B709" t="str">
            <v>RHEM-EBAT</v>
          </cell>
          <cell r="C709" t="str">
            <v>VAR_fin</v>
          </cell>
          <cell r="D709" t="str">
            <v>RHEM_ELC</v>
          </cell>
          <cell r="E709">
            <v>7.0928535118750544E-4</v>
          </cell>
          <cell r="F709">
            <v>6.9970695211133077E-4</v>
          </cell>
          <cell r="G709">
            <v>6.9589487084664291E-4</v>
          </cell>
          <cell r="H709">
            <v>9.8754311268128385E-3</v>
          </cell>
          <cell r="I709">
            <v>1.2779035430586729E-2</v>
          </cell>
          <cell r="J709">
            <v>7.7131773693976929E-3</v>
          </cell>
        </row>
        <row r="710">
          <cell r="B710" t="str">
            <v>RHEM-EBAT</v>
          </cell>
          <cell r="C710" t="str">
            <v>VAR_fin</v>
          </cell>
          <cell r="D710" t="str">
            <v>AUX_RHEM-EBAT_IN</v>
          </cell>
          <cell r="E710">
            <v>7.0928535118750544E-4</v>
          </cell>
          <cell r="F710">
            <v>6.9970695211133077E-4</v>
          </cell>
          <cell r="G710">
            <v>6.9589487084664291E-4</v>
          </cell>
          <cell r="H710">
            <v>9.8754311268128385E-3</v>
          </cell>
          <cell r="I710">
            <v>1.2779035430586729E-2</v>
          </cell>
          <cell r="J710">
            <v>7.7131773693976929E-3</v>
          </cell>
        </row>
        <row r="711">
          <cell r="B711" t="str">
            <v>RHEM-EBAT</v>
          </cell>
          <cell r="C711" t="str">
            <v>VAR_ncap</v>
          </cell>
          <cell r="D711" t="str">
            <v>-</v>
          </cell>
          <cell r="E711">
            <v>2.53698344328051E-4</v>
          </cell>
          <cell r="F711">
            <v>3.8267832867433098E-7</v>
          </cell>
          <cell r="G711">
            <v>1.2439538690619E-6</v>
          </cell>
          <cell r="H711">
            <v>6.27351453428581E-3</v>
          </cell>
          <cell r="I711">
            <v>3.3399229806790501E-3</v>
          </cell>
          <cell r="J711">
            <v>1.11999987114872E-3</v>
          </cell>
        </row>
        <row r="712">
          <cell r="B712" t="str">
            <v>RHEM-EBAT</v>
          </cell>
          <cell r="C712" t="str">
            <v>VAR_cap</v>
          </cell>
          <cell r="D712" t="str">
            <v>-</v>
          </cell>
          <cell r="E712">
            <v>2.5641954024509299E-4</v>
          </cell>
          <cell r="F712">
            <v>2.5667497265744518E-4</v>
          </cell>
          <cell r="G712">
            <v>2.576903423538397E-4</v>
          </cell>
          <cell r="H712">
            <v>6.4603762993222843E-3</v>
          </cell>
          <cell r="I712">
            <v>4.8168571319344659E-3</v>
          </cell>
          <cell r="J712">
            <v>2.8590660763585548E-3</v>
          </cell>
        </row>
        <row r="713">
          <cell r="B713" t="str">
            <v>HPLGEO</v>
          </cell>
          <cell r="C713" t="str">
            <v>VAR_fout</v>
          </cell>
          <cell r="D713" t="str">
            <v>LTH</v>
          </cell>
          <cell r="I713">
            <v>6.6784315224803321E-5</v>
          </cell>
          <cell r="J713">
            <v>6.3754143134864814E-5</v>
          </cell>
        </row>
        <row r="714">
          <cell r="B714" t="str">
            <v>HPLGEO</v>
          </cell>
          <cell r="C714" t="str">
            <v>VAR_fin</v>
          </cell>
          <cell r="D714" t="str">
            <v>GEO</v>
          </cell>
          <cell r="I714">
            <v>7.856978261741567E-5</v>
          </cell>
          <cell r="J714">
            <v>7.5004874276311573E-5</v>
          </cell>
        </row>
        <row r="715">
          <cell r="B715" t="str">
            <v>HPLGEO</v>
          </cell>
          <cell r="C715" t="str">
            <v>VAR_ncap</v>
          </cell>
          <cell r="D715" t="str">
            <v>-</v>
          </cell>
          <cell r="I715">
            <v>5.1157744601923098E-6</v>
          </cell>
          <cell r="J715">
            <v>6.3150932682500198E-8</v>
          </cell>
        </row>
        <row r="716">
          <cell r="B716" t="str">
            <v>HPLGEO</v>
          </cell>
          <cell r="C716" t="str">
            <v>VAR_cap</v>
          </cell>
          <cell r="D716" t="str">
            <v>-</v>
          </cell>
          <cell r="I716">
            <v>5.1157744601923098E-6</v>
          </cell>
          <cell r="J716">
            <v>5.17892539287481E-6</v>
          </cell>
        </row>
        <row r="717">
          <cell r="B717" t="str">
            <v>CT_CWODBDSCCS</v>
          </cell>
          <cell r="C717" t="str">
            <v>VAR_fout</v>
          </cell>
          <cell r="D717" t="str">
            <v>CO2_O</v>
          </cell>
          <cell r="I717">
            <v>9.9329309749504636E-3</v>
          </cell>
          <cell r="J717">
            <v>444.86983649063041</v>
          </cell>
        </row>
        <row r="718">
          <cell r="B718" t="str">
            <v>CT_CWODBDSCCS</v>
          </cell>
          <cell r="C718" t="str">
            <v>VAR_fout</v>
          </cell>
          <cell r="D718" t="str">
            <v>CO2</v>
          </cell>
          <cell r="I718">
            <v>-9.9329309749504706E-3</v>
          </cell>
          <cell r="J718">
            <v>-444.86983649063001</v>
          </cell>
        </row>
        <row r="719">
          <cell r="B719" t="str">
            <v>CT_CWODBDSCCS</v>
          </cell>
          <cell r="C719" t="str">
            <v>VAR_fout</v>
          </cell>
          <cell r="D719" t="str">
            <v>BDS</v>
          </cell>
          <cell r="I719">
            <v>5.5577973394401839E-5</v>
          </cell>
          <cell r="J719">
            <v>2.4891911560445985</v>
          </cell>
        </row>
        <row r="720">
          <cell r="B720" t="str">
            <v>CT_CWODBDSCCS</v>
          </cell>
          <cell r="C720" t="str">
            <v>VAR_fout</v>
          </cell>
          <cell r="D720" t="str">
            <v>LTH</v>
          </cell>
          <cell r="I720">
            <v>2.1675409623816686E-5</v>
          </cell>
          <cell r="J720">
            <v>0.9707845508573909</v>
          </cell>
        </row>
        <row r="721">
          <cell r="B721" t="str">
            <v>CT_CWODBDSCCS</v>
          </cell>
          <cell r="C721" t="str">
            <v>VAR_fin</v>
          </cell>
          <cell r="D721" t="str">
            <v>CWOD</v>
          </cell>
          <cell r="I721">
            <v>1.5836943518734805E-4</v>
          </cell>
          <cell r="J721">
            <v>7.0929501991490769</v>
          </cell>
        </row>
        <row r="722">
          <cell r="B722" t="str">
            <v>CT_CWODBDSCCS</v>
          </cell>
          <cell r="C722" t="str">
            <v>VAR_fin</v>
          </cell>
          <cell r="D722" t="str">
            <v>CELC</v>
          </cell>
          <cell r="I722">
            <v>7.1735284231202942E-6</v>
          </cell>
          <cell r="J722">
            <v>0.32128345849804185</v>
          </cell>
        </row>
        <row r="723">
          <cell r="B723" t="str">
            <v>CT_CWODBDSCCS</v>
          </cell>
          <cell r="C723" t="str">
            <v>VAR_ncap</v>
          </cell>
          <cell r="D723" t="str">
            <v>-</v>
          </cell>
          <cell r="I723">
            <v>1.0326071777902701E-5</v>
          </cell>
          <cell r="J723">
            <v>0.12906657426305601</v>
          </cell>
        </row>
        <row r="724">
          <cell r="B724" t="str">
            <v>CT_CWODBDSCCS</v>
          </cell>
          <cell r="C724" t="str">
            <v>VAR_cap</v>
          </cell>
          <cell r="D724" t="str">
            <v>-</v>
          </cell>
          <cell r="I724">
            <v>1.0326071777902701E-5</v>
          </cell>
          <cell r="J724">
            <v>0.12907690033483399</v>
          </cell>
        </row>
        <row r="725">
          <cell r="B725" t="str">
            <v>EHYD-PUM15</v>
          </cell>
          <cell r="C725" t="str">
            <v>VAR_fout</v>
          </cell>
          <cell r="D725" t="str">
            <v>ELC</v>
          </cell>
          <cell r="F725">
            <v>9.6171254599980752E-4</v>
          </cell>
          <cell r="G725">
            <v>1.2561166885506465E-3</v>
          </cell>
          <cell r="H725">
            <v>1.3219151141408991E-3</v>
          </cell>
          <cell r="I725">
            <v>1.0362946963576303E-3</v>
          </cell>
          <cell r="J725">
            <v>1.0785000122014688E-3</v>
          </cell>
        </row>
        <row r="726">
          <cell r="B726" t="str">
            <v>EHYD-PUM15</v>
          </cell>
          <cell r="C726" t="str">
            <v>VAR_fout</v>
          </cell>
          <cell r="D726" t="str">
            <v>AUX_PUMP_OUT</v>
          </cell>
          <cell r="F726">
            <v>9.6171254599980752E-4</v>
          </cell>
          <cell r="G726">
            <v>1.2561166885506465E-3</v>
          </cell>
          <cell r="H726">
            <v>1.3219151141408991E-3</v>
          </cell>
          <cell r="I726">
            <v>1.0362946963576303E-3</v>
          </cell>
          <cell r="J726">
            <v>1.0785000122014688E-3</v>
          </cell>
        </row>
        <row r="727">
          <cell r="B727" t="str">
            <v>EHYD-PUM15</v>
          </cell>
          <cell r="C727" t="str">
            <v>VAR_fin</v>
          </cell>
          <cell r="D727" t="str">
            <v>AUX_PUMP_IN</v>
          </cell>
          <cell r="F727">
            <v>1.2043460350024413E-3</v>
          </cell>
          <cell r="G727">
            <v>1.5719717448939247E-3</v>
          </cell>
          <cell r="H727">
            <v>1.6523232585717296E-3</v>
          </cell>
          <cell r="I727">
            <v>1.2946149752040995E-3</v>
          </cell>
          <cell r="J727">
            <v>1.3473649177229935E-3</v>
          </cell>
        </row>
        <row r="728">
          <cell r="B728" t="str">
            <v>EHYD-PUM15</v>
          </cell>
          <cell r="C728" t="str">
            <v>VAR_fin</v>
          </cell>
          <cell r="D728" t="str">
            <v>ELC</v>
          </cell>
          <cell r="F728">
            <v>1.2043460350024413E-3</v>
          </cell>
          <cell r="G728">
            <v>1.5719717448939247E-3</v>
          </cell>
          <cell r="H728">
            <v>1.6523232585717296E-3</v>
          </cell>
          <cell r="I728">
            <v>1.2946149752040995E-3</v>
          </cell>
          <cell r="J728">
            <v>1.3473649177229935E-3</v>
          </cell>
        </row>
        <row r="729">
          <cell r="B729" t="str">
            <v>EHYD-PUM15</v>
          </cell>
          <cell r="C729" t="str">
            <v>VAR_ncap</v>
          </cell>
          <cell r="D729" t="str">
            <v>-</v>
          </cell>
          <cell r="F729">
            <v>1.15582806672565E-4</v>
          </cell>
          <cell r="G729">
            <v>5.6688800178598202E-8</v>
          </cell>
          <cell r="H729">
            <v>6.6070189239512098E-8</v>
          </cell>
          <cell r="I729">
            <v>1.00600708744463E-7</v>
          </cell>
          <cell r="J729">
            <v>3.2526502494666202E-7</v>
          </cell>
        </row>
        <row r="730">
          <cell r="B730" t="str">
            <v>EHYD-PUM15</v>
          </cell>
          <cell r="C730" t="str">
            <v>VAR_cap</v>
          </cell>
          <cell r="D730" t="str">
            <v>-</v>
          </cell>
          <cell r="F730">
            <v>1.15582806672565E-4</v>
          </cell>
          <cell r="G730">
            <v>1.15582806672565E-4</v>
          </cell>
          <cell r="H730">
            <v>1.15582806672565E-4</v>
          </cell>
          <cell r="I730">
            <v>1.15705565661983E-4</v>
          </cell>
          <cell r="J730">
            <v>1.15903899918036E-4</v>
          </cell>
        </row>
        <row r="731">
          <cell r="B731" t="str">
            <v>D-EWST</v>
          </cell>
          <cell r="C731" t="str">
            <v>VAR_fout</v>
          </cell>
          <cell r="D731" t="str">
            <v>CO2</v>
          </cell>
          <cell r="E731">
            <v>2266.2755020366299</v>
          </cell>
          <cell r="F731">
            <v>2235.4034337000598</v>
          </cell>
          <cell r="G731">
            <v>2268.7797067596398</v>
          </cell>
          <cell r="H731">
            <v>2238.51141738761</v>
          </cell>
          <cell r="I731">
            <v>2266.1010268326199</v>
          </cell>
          <cell r="J731">
            <v>2340.56368664604</v>
          </cell>
        </row>
        <row r="732">
          <cell r="B732" t="str">
            <v>D-EWST</v>
          </cell>
          <cell r="C732" t="str">
            <v>VAR_fout</v>
          </cell>
          <cell r="D732" t="str">
            <v>EWST</v>
          </cell>
          <cell r="E732">
            <v>48.842144440444571</v>
          </cell>
          <cell r="F732">
            <v>48.176801402573197</v>
          </cell>
          <cell r="G732">
            <v>48.896115608110399</v>
          </cell>
          <cell r="H732">
            <v>48.243777086188359</v>
          </cell>
          <cell r="I732">
            <v>48.838384198978922</v>
          </cell>
          <cell r="J732">
            <v>50.443182901854385</v>
          </cell>
        </row>
        <row r="733">
          <cell r="B733" t="str">
            <v>D-EWST</v>
          </cell>
          <cell r="C733" t="str">
            <v>VAR_fin</v>
          </cell>
          <cell r="D733" t="str">
            <v>WSTNREN</v>
          </cell>
          <cell r="E733">
            <v>24.421072220222289</v>
          </cell>
          <cell r="F733">
            <v>24.088399070043753</v>
          </cell>
          <cell r="G733">
            <v>24.448057184909917</v>
          </cell>
          <cell r="H733">
            <v>24.12189027357342</v>
          </cell>
          <cell r="I733">
            <v>24.419192099489472</v>
          </cell>
          <cell r="J733">
            <v>25.221591450927196</v>
          </cell>
        </row>
        <row r="734">
          <cell r="B734" t="str">
            <v>D-EWST</v>
          </cell>
          <cell r="C734" t="str">
            <v>VAR_fin</v>
          </cell>
          <cell r="D734" t="str">
            <v>WSTREN</v>
          </cell>
          <cell r="E734">
            <v>24.421072220222289</v>
          </cell>
          <cell r="F734">
            <v>24.088399070043753</v>
          </cell>
          <cell r="G734">
            <v>24.448057184909917</v>
          </cell>
          <cell r="H734">
            <v>24.12189027357342</v>
          </cell>
          <cell r="I734">
            <v>24.419192099489472</v>
          </cell>
          <cell r="J734">
            <v>25.221591450927196</v>
          </cell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69.207605986136102</v>
          </cell>
          <cell r="E4">
            <v>14.351660154992883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1.4029959643319207E-2</v>
          </cell>
          <cell r="E5">
            <v>8.2494659925391647E-3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5.7228999375397294</v>
          </cell>
          <cell r="E6">
            <v>11.946878798407621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63.47067608895302</v>
          </cell>
          <cell r="E7">
            <v>2.3965318905927102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694.61494703647861</v>
          </cell>
          <cell r="E8">
            <v>1152.3345879563826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736.75187718692894</v>
          </cell>
          <cell r="E9">
            <v>1099.497979410294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125.79888043790878</v>
          </cell>
          <cell r="E10">
            <v>715.09676216945456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0.27945735800204125</v>
          </cell>
          <cell r="E11">
            <v>37.972723768837078</v>
          </cell>
        </row>
        <row r="12">
          <cell r="A12" t="str">
            <v>CO2_O</v>
          </cell>
          <cell r="B12" t="str">
            <v>VAR_fout</v>
          </cell>
          <cell r="C12" t="str">
            <v>SUP_WSTHTGBIOCCS</v>
          </cell>
          <cell r="D12">
            <v>2.3627266439541304E-3</v>
          </cell>
          <cell r="E12">
            <v>3.1680892433392318E-3</v>
          </cell>
        </row>
        <row r="13">
          <cell r="A13" t="str">
            <v>CO2_O</v>
          </cell>
          <cell r="B13" t="str">
            <v>VAR_fout</v>
          </cell>
          <cell r="C13" t="str">
            <v>ITOT-CHPWODCCS</v>
          </cell>
          <cell r="D13">
            <v>333.69104187860518</v>
          </cell>
          <cell r="E13">
            <v>704.11576877599407</v>
          </cell>
        </row>
        <row r="14">
          <cell r="A14" t="str">
            <v>CO2_O</v>
          </cell>
          <cell r="B14" t="str">
            <v>VAR_fout</v>
          </cell>
          <cell r="C14" t="str">
            <v>EWOD-CCS</v>
          </cell>
          <cell r="D14">
            <v>0.12680718719603007</v>
          </cell>
          <cell r="E14">
            <v>0.79355327957681798</v>
          </cell>
        </row>
        <row r="15">
          <cell r="A15" t="str">
            <v>CO2_O</v>
          </cell>
          <cell r="B15" t="str">
            <v>VAR_fout</v>
          </cell>
          <cell r="C15" t="str">
            <v>ITOT-PROCESSCO2CCS</v>
          </cell>
          <cell r="D15">
            <v>3.621440488414493E-2</v>
          </cell>
          <cell r="E15">
            <v>1031.8877204971427</v>
          </cell>
        </row>
        <row r="16">
          <cell r="A16" t="str">
            <v>CO2_O</v>
          </cell>
          <cell r="B16" t="str">
            <v>VAR_fout</v>
          </cell>
          <cell r="C16" t="str">
            <v>SUP_WODH2CCS</v>
          </cell>
          <cell r="E16">
            <v>971.30462515719273</v>
          </cell>
        </row>
        <row r="17">
          <cell r="A17" t="str">
            <v>CO2_O</v>
          </cell>
          <cell r="B17" t="str">
            <v>VAR_fout</v>
          </cell>
          <cell r="C17" t="str">
            <v>SUP_WODBIOCCS</v>
          </cell>
          <cell r="D17">
            <v>1.2051576905902455E-2</v>
          </cell>
          <cell r="E17">
            <v>1.4288686561813001E-2</v>
          </cell>
        </row>
        <row r="18">
          <cell r="A18" t="str">
            <v>CO2_O</v>
          </cell>
          <cell r="B18" t="str">
            <v>VAR_fout</v>
          </cell>
          <cell r="C18" t="str">
            <v>SUP_NGAH2CCS</v>
          </cell>
          <cell r="E18">
            <v>14.474730597771334</v>
          </cell>
        </row>
        <row r="19">
          <cell r="A19" t="str">
            <v>CO2_O</v>
          </cell>
          <cell r="B19" t="str">
            <v>VAR_fout</v>
          </cell>
          <cell r="C19" t="str">
            <v>CT_CWODETHCCS</v>
          </cell>
          <cell r="D19">
            <v>1.2548817296998082E-3</v>
          </cell>
          <cell r="E19">
            <v>1.688757225183561E-3</v>
          </cell>
        </row>
        <row r="20">
          <cell r="A20" t="str">
            <v>CO2_O</v>
          </cell>
          <cell r="B20" t="str">
            <v>VAR_fout</v>
          </cell>
          <cell r="C20" t="str">
            <v>SUP_DAC</v>
          </cell>
          <cell r="D20">
            <v>2.8106686053595521E-3</v>
          </cell>
          <cell r="E20">
            <v>9.9542328361672539E-3</v>
          </cell>
        </row>
        <row r="21">
          <cell r="A21" t="str">
            <v>CO2_O</v>
          </cell>
          <cell r="B21" t="str">
            <v>VAR_fout</v>
          </cell>
          <cell r="C21" t="str">
            <v>CT_CWODBDSCCS</v>
          </cell>
          <cell r="D21">
            <v>9.9329309749504636E-3</v>
          </cell>
          <cell r="E21">
            <v>444.86983649063041</v>
          </cell>
        </row>
        <row r="22">
          <cell r="A22" t="str">
            <v>CO2_O</v>
          </cell>
          <cell r="B22" t="str">
            <v>VAR_fin</v>
          </cell>
          <cell r="C22" t="str">
            <v>D-CO2_O</v>
          </cell>
          <cell r="D22">
            <v>1891.297446949168</v>
          </cell>
          <cell r="E22">
            <v>6172.3407126659931</v>
          </cell>
        </row>
        <row r="23">
          <cell r="A23" t="str">
            <v>CO2_Q</v>
          </cell>
          <cell r="B23" t="str">
            <v>VAR_fout</v>
          </cell>
          <cell r="C23" t="str">
            <v>D-CO2_O</v>
          </cell>
          <cell r="D23">
            <v>833.34152175389818</v>
          </cell>
          <cell r="E23">
            <v>1904.7648029305308</v>
          </cell>
        </row>
        <row r="24">
          <cell r="A24" t="str">
            <v>CO2_Q</v>
          </cell>
          <cell r="B24" t="str">
            <v>VAR_fin</v>
          </cell>
          <cell r="C24" t="str">
            <v>CO2SINK</v>
          </cell>
          <cell r="D24">
            <v>833.34152175389818</v>
          </cell>
          <cell r="E24">
            <v>1904.7648029305308</v>
          </cell>
        </row>
        <row r="25">
          <cell r="A25" t="str">
            <v>CO2_X</v>
          </cell>
          <cell r="B25" t="str">
            <v>VAR_fout</v>
          </cell>
          <cell r="C25" t="str">
            <v>D-CO2_O</v>
          </cell>
          <cell r="D25">
            <v>988.74831920913675</v>
          </cell>
          <cell r="E25">
            <v>4253.2242495804721</v>
          </cell>
        </row>
        <row r="26">
          <cell r="A26" t="str">
            <v>CO2_X</v>
          </cell>
          <cell r="B26" t="str">
            <v>VAR_fin</v>
          </cell>
          <cell r="C26" t="str">
            <v>CO2EXP</v>
          </cell>
          <cell r="D26">
            <v>988.74831920913675</v>
          </cell>
          <cell r="E26">
            <v>4253.2242495804721</v>
          </cell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2040</v>
          </cell>
          <cell r="I3" t="str">
            <v>2050</v>
          </cell>
        </row>
        <row r="4">
          <cell r="A4" t="str">
            <v>IMPBDS1</v>
          </cell>
          <cell r="C4" t="str">
            <v>BDS1</v>
          </cell>
          <cell r="G4">
            <v>5.0489467091086597</v>
          </cell>
          <cell r="H4">
            <v>26.920996451433101</v>
          </cell>
          <cell r="I4">
            <v>75.588521106828296</v>
          </cell>
        </row>
        <row r="5">
          <cell r="A5" t="str">
            <v>EXPELC_DE</v>
          </cell>
          <cell r="C5" t="str">
            <v>ELC_E-DE</v>
          </cell>
          <cell r="D5">
            <v>26.492981758017205</v>
          </cell>
          <cell r="E5">
            <v>2.6445416339847581E-4</v>
          </cell>
          <cell r="F5">
            <v>2.9444340926409123E-4</v>
          </cell>
          <cell r="G5">
            <v>2.6277067774163799E-4</v>
          </cell>
          <cell r="H5">
            <v>7.4170820034714501E-4</v>
          </cell>
          <cell r="I5">
            <v>2.0290546369404588E-4</v>
          </cell>
        </row>
        <row r="6">
          <cell r="A6" t="str">
            <v>IMPDSL</v>
          </cell>
          <cell r="C6" t="str">
            <v>DSL</v>
          </cell>
          <cell r="D6">
            <v>118.35402406736033</v>
          </cell>
          <cell r="E6">
            <v>112.68604364616083</v>
          </cell>
          <cell r="F6">
            <v>96.829890406505726</v>
          </cell>
          <cell r="G6">
            <v>66.163455855927737</v>
          </cell>
          <cell r="H6">
            <v>28.971012228914109</v>
          </cell>
        </row>
        <row r="7">
          <cell r="A7" t="str">
            <v>IMPH2</v>
          </cell>
          <cell r="C7" t="str">
            <v>H2</v>
          </cell>
          <cell r="H7">
            <v>2.7929129304174021</v>
          </cell>
          <cell r="I7">
            <v>2.792914887581456</v>
          </cell>
        </row>
        <row r="8">
          <cell r="A8" t="str">
            <v>IMPELC_AT</v>
          </cell>
          <cell r="C8" t="str">
            <v>ELC_I-AT</v>
          </cell>
          <cell r="D8">
            <v>15.013814141465092</v>
          </cell>
          <cell r="E8">
            <v>4.3204928735125563</v>
          </cell>
          <cell r="F8">
            <v>2.0307765689723114</v>
          </cell>
          <cell r="G8">
            <v>2.9115626485468815</v>
          </cell>
          <cell r="H8">
            <v>1.9081917742478123</v>
          </cell>
          <cell r="I8">
            <v>3.7335547971060401</v>
          </cell>
        </row>
        <row r="9">
          <cell r="A9" t="str">
            <v>IMPELC_AT</v>
          </cell>
          <cell r="C9" t="str">
            <v>ELCS</v>
          </cell>
          <cell r="D9">
            <v>15.013814141465092</v>
          </cell>
          <cell r="E9">
            <v>4.3204928735125563</v>
          </cell>
          <cell r="F9">
            <v>2.0307765689723114</v>
          </cell>
          <cell r="G9">
            <v>2.9115626485468815</v>
          </cell>
          <cell r="H9">
            <v>1.9081917742478123</v>
          </cell>
          <cell r="I9">
            <v>3.7335547971060401</v>
          </cell>
        </row>
        <row r="10">
          <cell r="A10" t="str">
            <v>IMPELC_FR</v>
          </cell>
          <cell r="C10" t="str">
            <v>ELC_I-FR</v>
          </cell>
          <cell r="D10">
            <v>28.94862936472105</v>
          </cell>
          <cell r="E10">
            <v>20.217566815582675</v>
          </cell>
          <cell r="F10">
            <v>25.378443032155136</v>
          </cell>
          <cell r="G10">
            <v>16.825877380270427</v>
          </cell>
          <cell r="H10">
            <v>11.17109182773166</v>
          </cell>
          <cell r="I10">
            <v>10.037705918001192</v>
          </cell>
        </row>
        <row r="11">
          <cell r="A11" t="str">
            <v>IMPELC_FR</v>
          </cell>
          <cell r="C11" t="str">
            <v>ELCS</v>
          </cell>
          <cell r="D11">
            <v>28.94862936472105</v>
          </cell>
          <cell r="E11">
            <v>20.217566815582675</v>
          </cell>
          <cell r="F11">
            <v>25.378443032155136</v>
          </cell>
          <cell r="G11">
            <v>16.825877380270427</v>
          </cell>
          <cell r="H11">
            <v>11.17109182773166</v>
          </cell>
          <cell r="I11">
            <v>10.037705918001192</v>
          </cell>
        </row>
        <row r="12">
          <cell r="A12" t="str">
            <v>RNWHYDR1</v>
          </cell>
          <cell r="C12" t="str">
            <v>HYDR</v>
          </cell>
          <cell r="D12">
            <v>66.632403392216744</v>
          </cell>
          <cell r="E12">
            <v>55.764002869629792</v>
          </cell>
          <cell r="F12">
            <v>65.550592645327399</v>
          </cell>
          <cell r="G12">
            <v>64.474025541187984</v>
          </cell>
          <cell r="H12">
            <v>62.590508052977214</v>
          </cell>
          <cell r="I12">
            <v>60.482005087057331</v>
          </cell>
        </row>
        <row r="13">
          <cell r="A13" t="str">
            <v>EXPELC_IT</v>
          </cell>
          <cell r="C13" t="str">
            <v>ELC_E-IT</v>
          </cell>
          <cell r="D13">
            <v>71.694114480289144</v>
          </cell>
          <cell r="E13">
            <v>35.389649241298493</v>
          </cell>
          <cell r="F13">
            <v>54.779034170106542</v>
          </cell>
          <cell r="G13">
            <v>55.708982487914447</v>
          </cell>
          <cell r="H13">
            <v>17.101515355831321</v>
          </cell>
          <cell r="I13">
            <v>15.773218763569432</v>
          </cell>
        </row>
        <row r="14">
          <cell r="A14" t="str">
            <v>IMPLNG</v>
          </cell>
          <cell r="C14" t="str">
            <v>LBIO</v>
          </cell>
          <cell r="G14">
            <v>2.1354609316675774</v>
          </cell>
          <cell r="H14">
            <v>2.1353451946506041</v>
          </cell>
          <cell r="I14">
            <v>2.1353379669497152</v>
          </cell>
        </row>
        <row r="15">
          <cell r="A15" t="str">
            <v>IMPLNG</v>
          </cell>
          <cell r="C15" t="str">
            <v>LNGA</v>
          </cell>
          <cell r="G15">
            <v>2.4197604385534977E-4</v>
          </cell>
          <cell r="H15">
            <v>3.6076182786701645E-4</v>
          </cell>
          <cell r="I15">
            <v>3.6524079352102929E-4</v>
          </cell>
        </row>
        <row r="16">
          <cell r="A16" t="str">
            <v>IMPURN1</v>
          </cell>
          <cell r="C16" t="str">
            <v>URN</v>
          </cell>
          <cell r="D16">
            <v>250.94820788424624</v>
          </cell>
          <cell r="E16">
            <v>253.30005358253649</v>
          </cell>
          <cell r="F16">
            <v>206.09862823720431</v>
          </cell>
          <cell r="G16">
            <v>211.90227646135531</v>
          </cell>
          <cell r="H16">
            <v>98.94550646506643</v>
          </cell>
        </row>
        <row r="17">
          <cell r="A17" t="str">
            <v>EXPELC_AT</v>
          </cell>
          <cell r="C17" t="str">
            <v>ELC_E-AT</v>
          </cell>
          <cell r="D17">
            <v>6.2295633465615854</v>
          </cell>
          <cell r="E17">
            <v>4.1373637255562193E-4</v>
          </cell>
          <cell r="F17">
            <v>5.026837298330618E-4</v>
          </cell>
          <cell r="G17">
            <v>1.0517653153165656E-4</v>
          </cell>
          <cell r="H17">
            <v>1.5344012976821657E-4</v>
          </cell>
          <cell r="I17">
            <v>6.5514599285148128E-5</v>
          </cell>
        </row>
        <row r="18">
          <cell r="A18" t="str">
            <v>EXPELC_FR</v>
          </cell>
          <cell r="C18" t="str">
            <v>ELC_E-FR</v>
          </cell>
          <cell r="D18">
            <v>12.753365144021915</v>
          </cell>
          <cell r="E18">
            <v>3.4775920317069332E-4</v>
          </cell>
          <cell r="F18">
            <v>3.3882670347765674E-4</v>
          </cell>
          <cell r="G18">
            <v>1.8029857044013256E-4</v>
          </cell>
          <cell r="H18">
            <v>7.0452037929413455E-4</v>
          </cell>
          <cell r="I18">
            <v>3.9071524506130564E-4</v>
          </cell>
        </row>
        <row r="19">
          <cell r="A19" t="str">
            <v>RNWWND1</v>
          </cell>
          <cell r="C19" t="str">
            <v>WND</v>
          </cell>
          <cell r="D19">
            <v>0.52094246274751421</v>
          </cell>
          <cell r="E19">
            <v>0.54221864009255827</v>
          </cell>
          <cell r="F19">
            <v>0.50008983563262366</v>
          </cell>
          <cell r="G19">
            <v>0.8751299852700577</v>
          </cell>
          <cell r="H19">
            <v>0.85604839047045966</v>
          </cell>
          <cell r="I19">
            <v>0.87512770773496018</v>
          </cell>
        </row>
        <row r="20">
          <cell r="A20" t="str">
            <v>RNWWND2</v>
          </cell>
          <cell r="C20" t="str">
            <v>WND</v>
          </cell>
          <cell r="D20">
            <v>1.0198339868711171E-3</v>
          </cell>
          <cell r="E20">
            <v>1.0201190650331281E-3</v>
          </cell>
          <cell r="F20">
            <v>1.0200243979233456E-3</v>
          </cell>
          <cell r="G20">
            <v>1.1725203629042513</v>
          </cell>
          <cell r="H20">
            <v>2.2242699853081511</v>
          </cell>
          <cell r="I20">
            <v>2.3070804134971707</v>
          </cell>
        </row>
        <row r="21">
          <cell r="A21" t="str">
            <v>RNWMNR1</v>
          </cell>
          <cell r="C21" t="str">
            <v>MNR</v>
          </cell>
          <cell r="D21">
            <v>3.7980974745362204</v>
          </cell>
          <cell r="E21">
            <v>10.171950244929162</v>
          </cell>
          <cell r="F21">
            <v>12.540050449912423</v>
          </cell>
          <cell r="G21">
            <v>12.540436679121591</v>
          </cell>
          <cell r="H21">
            <v>12.540426956679223</v>
          </cell>
          <cell r="I21">
            <v>12.54042947466198</v>
          </cell>
        </row>
        <row r="22">
          <cell r="A22" t="str">
            <v>RNWWND3</v>
          </cell>
          <cell r="C22" t="str">
            <v>WND</v>
          </cell>
          <cell r="D22">
            <v>8.373962985881887E-4</v>
          </cell>
          <cell r="E22">
            <v>8.3731812994762545E-4</v>
          </cell>
          <cell r="F22">
            <v>8.3765821597406309E-4</v>
          </cell>
          <cell r="G22">
            <v>1.2505358746921073E-3</v>
          </cell>
          <cell r="H22">
            <v>0.4383343213738467</v>
          </cell>
          <cell r="I22">
            <v>5.0941516497844628</v>
          </cell>
        </row>
        <row r="23">
          <cell r="A23" t="str">
            <v>RNWMNR2</v>
          </cell>
          <cell r="C23" t="str">
            <v>MNR</v>
          </cell>
          <cell r="H23">
            <v>2.0900497361426127</v>
          </cell>
          <cell r="I23">
            <v>6.270214120104951</v>
          </cell>
        </row>
        <row r="24">
          <cell r="A24" t="str">
            <v>RNWWND4</v>
          </cell>
          <cell r="C24" t="str">
            <v>WND</v>
          </cell>
          <cell r="D24">
            <v>7.3553726176394134E-4</v>
          </cell>
          <cell r="E24">
            <v>7.3528107947254287E-4</v>
          </cell>
          <cell r="F24">
            <v>7.3577949016703597E-4</v>
          </cell>
          <cell r="G24">
            <v>8.72171968624508E-4</v>
          </cell>
          <cell r="H24">
            <v>3.3921071548563991E-3</v>
          </cell>
          <cell r="I24">
            <v>5.8257884251880316</v>
          </cell>
        </row>
        <row r="25">
          <cell r="A25" t="str">
            <v>RNWMNR3</v>
          </cell>
          <cell r="C25" t="str">
            <v>MNR</v>
          </cell>
          <cell r="H25">
            <v>5.7691731966503341E-4</v>
          </cell>
          <cell r="I25">
            <v>8.0064592577275686</v>
          </cell>
        </row>
        <row r="26">
          <cell r="A26" t="str">
            <v>IMPLFO1</v>
          </cell>
          <cell r="C26" t="str">
            <v>LFO</v>
          </cell>
          <cell r="D26">
            <v>101.73255844754223</v>
          </cell>
          <cell r="E26">
            <v>88.602742320913634</v>
          </cell>
          <cell r="F26">
            <v>81.913086597716372</v>
          </cell>
          <cell r="G26">
            <v>42.63442450549865</v>
          </cell>
          <cell r="H26">
            <v>11.500161895355838</v>
          </cell>
        </row>
        <row r="27">
          <cell r="A27" t="str">
            <v>RNWWND5</v>
          </cell>
          <cell r="C27" t="str">
            <v>WND</v>
          </cell>
          <cell r="D27">
            <v>4.8434541098869226E-4</v>
          </cell>
          <cell r="E27">
            <v>4.8357188461823237E-4</v>
          </cell>
          <cell r="F27">
            <v>4.8423193183682667E-4</v>
          </cell>
          <cell r="G27">
            <v>5.0548846782075762E-4</v>
          </cell>
          <cell r="H27">
            <v>7.9312046235559827E-4</v>
          </cell>
          <cell r="I27">
            <v>6.9531859844468899E-4</v>
          </cell>
        </row>
        <row r="28">
          <cell r="A28" t="str">
            <v>IMPBNGA</v>
          </cell>
          <cell r="C28" t="str">
            <v>BIO</v>
          </cell>
          <cell r="E28">
            <v>0.51650259108770324</v>
          </cell>
          <cell r="F28">
            <v>1.16714406843122</v>
          </cell>
          <cell r="G28">
            <v>2.2314166856257103</v>
          </cell>
          <cell r="H28">
            <v>2.1638792265067637</v>
          </cell>
          <cell r="I28">
            <v>1.0834962809098592E-4</v>
          </cell>
        </row>
        <row r="29">
          <cell r="A29" t="str">
            <v>RNWGEO1</v>
          </cell>
          <cell r="C29" t="str">
            <v>GEO</v>
          </cell>
          <cell r="H29">
            <v>0.55002090898236722</v>
          </cell>
          <cell r="I29">
            <v>21.359985581461384</v>
          </cell>
        </row>
        <row r="30">
          <cell r="A30" t="str">
            <v>RNWGEO2</v>
          </cell>
          <cell r="C30" t="str">
            <v>GEO</v>
          </cell>
          <cell r="H30">
            <v>5.2380238169632588E-3</v>
          </cell>
          <cell r="I30">
            <v>1.5667589741743551E-2</v>
          </cell>
        </row>
        <row r="31">
          <cell r="A31" t="str">
            <v>IMPKERintl</v>
          </cell>
          <cell r="C31" t="str">
            <v>KERintl</v>
          </cell>
          <cell r="D31">
            <v>29.445541904988399</v>
          </cell>
          <cell r="E31">
            <v>59.482621832335802</v>
          </cell>
          <cell r="F31">
            <v>79.469625047968506</v>
          </cell>
          <cell r="G31">
            <v>79.100165187984501</v>
          </cell>
          <cell r="H31">
            <v>52.074570799697597</v>
          </cell>
        </row>
        <row r="32">
          <cell r="A32" t="str">
            <v>RNWGEO3</v>
          </cell>
          <cell r="C32" t="str">
            <v>GEO</v>
          </cell>
          <cell r="H32">
            <v>1.6820841119328813E-3</v>
          </cell>
          <cell r="I32">
            <v>2.4755970496780776E-3</v>
          </cell>
        </row>
        <row r="33">
          <cell r="A33" t="str">
            <v>RNWGEO4</v>
          </cell>
          <cell r="C33" t="str">
            <v>GEO</v>
          </cell>
          <cell r="H33">
            <v>1.1650740692444039E-3</v>
          </cell>
          <cell r="I33">
            <v>1.5166458978137008E-3</v>
          </cell>
        </row>
        <row r="34">
          <cell r="A34" t="str">
            <v>RNWGEO5</v>
          </cell>
          <cell r="C34" t="str">
            <v>GEO</v>
          </cell>
          <cell r="H34">
            <v>9.2045780814177546E-4</v>
          </cell>
          <cell r="I34">
            <v>1.1308985005644241E-3</v>
          </cell>
        </row>
        <row r="35">
          <cell r="A35" t="str">
            <v>IMPGSL</v>
          </cell>
          <cell r="C35" t="str">
            <v>GSL</v>
          </cell>
          <cell r="D35">
            <v>79.873464233713207</v>
          </cell>
          <cell r="E35">
            <v>75.851064596785974</v>
          </cell>
          <cell r="F35">
            <v>71.821504802293347</v>
          </cell>
          <cell r="G35">
            <v>43.249198812254313</v>
          </cell>
          <cell r="H35">
            <v>5.5907817605670918</v>
          </cell>
        </row>
        <row r="36">
          <cell r="A36" t="str">
            <v>RNWWOD1</v>
          </cell>
          <cell r="C36" t="str">
            <v>WOD</v>
          </cell>
          <cell r="D36">
            <v>11.111884108761041</v>
          </cell>
          <cell r="E36">
            <v>11.952891359139555</v>
          </cell>
          <cell r="F36">
            <v>13.214396615497654</v>
          </cell>
          <cell r="G36">
            <v>15.31691415780252</v>
          </cell>
          <cell r="H36">
            <v>16.266400857581051</v>
          </cell>
          <cell r="I36">
            <v>16.957000263745243</v>
          </cell>
        </row>
        <row r="37">
          <cell r="A37" t="str">
            <v>RNWWOD2</v>
          </cell>
          <cell r="C37" t="str">
            <v>WOD</v>
          </cell>
          <cell r="D37">
            <v>7.5116772163570191</v>
          </cell>
          <cell r="E37">
            <v>7.5431492002936835</v>
          </cell>
          <cell r="F37">
            <v>7.5903515468217648</v>
          </cell>
          <cell r="G37">
            <v>7.6690309240460071</v>
          </cell>
          <cell r="H37">
            <v>7.6690311578538273</v>
          </cell>
          <cell r="I37">
            <v>7.6690330946267364</v>
          </cell>
        </row>
        <row r="38">
          <cell r="A38" t="str">
            <v>RNWWOD3</v>
          </cell>
          <cell r="C38" t="str">
            <v>WOD</v>
          </cell>
          <cell r="D38">
            <v>3.1682510722687232</v>
          </cell>
          <cell r="E38">
            <v>3.4956757074372615</v>
          </cell>
          <cell r="F38">
            <v>3.9868180812407656</v>
          </cell>
          <cell r="G38">
            <v>4.8053880242702149</v>
          </cell>
          <cell r="H38">
            <v>4.8053904683061326</v>
          </cell>
          <cell r="I38">
            <v>4.8053884470013726</v>
          </cell>
        </row>
        <row r="39">
          <cell r="A39" t="str">
            <v>RNWWOD4</v>
          </cell>
          <cell r="C39" t="str">
            <v>WOD</v>
          </cell>
          <cell r="D39">
            <v>13.656500984086197</v>
          </cell>
          <cell r="E39">
            <v>14.899047572755626</v>
          </cell>
          <cell r="F39">
            <v>16.762875062849616</v>
          </cell>
          <cell r="G39">
            <v>19.869257352653531</v>
          </cell>
          <cell r="H39">
            <v>19.869256824360384</v>
          </cell>
          <cell r="I39">
            <v>19.86925787867925</v>
          </cell>
        </row>
        <row r="40">
          <cell r="A40" t="str">
            <v>RNWWOD5</v>
          </cell>
          <cell r="C40" t="str">
            <v>WOD</v>
          </cell>
          <cell r="D40">
            <v>9.5241501022213679</v>
          </cell>
          <cell r="E40">
            <v>10.299728517111157</v>
          </cell>
          <cell r="F40">
            <v>9.8036982070024283</v>
          </cell>
          <cell r="G40">
            <v>3.6975793864959465</v>
          </cell>
          <cell r="H40">
            <v>2.7480980299647411</v>
          </cell>
          <cell r="I40">
            <v>11.160302318535642</v>
          </cell>
        </row>
        <row r="41">
          <cell r="A41" t="str">
            <v>RNNWWST1</v>
          </cell>
          <cell r="C41" t="str">
            <v>WSTNREN</v>
          </cell>
          <cell r="D41">
            <v>35.931107428734734</v>
          </cell>
          <cell r="E41">
            <v>35.882392173046433</v>
          </cell>
          <cell r="F41">
            <v>35.489453578256089</v>
          </cell>
          <cell r="G41">
            <v>35.039965743155484</v>
          </cell>
          <cell r="H41">
            <v>35.159477586631297</v>
          </cell>
          <cell r="I41">
            <v>35.852891553976519</v>
          </cell>
        </row>
        <row r="42">
          <cell r="A42" t="str">
            <v>RNWSOL1</v>
          </cell>
          <cell r="C42" t="str">
            <v>SOL</v>
          </cell>
          <cell r="D42">
            <v>12.556504254208923</v>
          </cell>
          <cell r="E42">
            <v>16.523453476725518</v>
          </cell>
          <cell r="F42">
            <v>30.433511235956367</v>
          </cell>
          <cell r="G42">
            <v>37.552669599119561</v>
          </cell>
          <cell r="H42">
            <v>78.7220123082773</v>
          </cell>
          <cell r="I42">
            <v>109.10626507155759</v>
          </cell>
        </row>
        <row r="43">
          <cell r="A43" t="str">
            <v>IMPHFO1</v>
          </cell>
          <cell r="C43" t="str">
            <v>HFO</v>
          </cell>
          <cell r="D43">
            <v>2.7763821187764037</v>
          </cell>
          <cell r="E43">
            <v>2.3751501586315169</v>
          </cell>
          <cell r="F43">
            <v>1.8391619637316433E-3</v>
          </cell>
          <cell r="G43">
            <v>2.1989345504189284E-4</v>
          </cell>
          <cell r="H43">
            <v>8.1853617412789518E-4</v>
          </cell>
        </row>
        <row r="44">
          <cell r="A44" t="str">
            <v>RNWHYDD1</v>
          </cell>
          <cell r="C44" t="str">
            <v>HYDD</v>
          </cell>
          <cell r="D44">
            <v>66.745680254990347</v>
          </cell>
          <cell r="E44">
            <v>49.798800132421853</v>
          </cell>
          <cell r="F44">
            <v>68.534753880992554</v>
          </cell>
          <cell r="G44">
            <v>70.674053749448362</v>
          </cell>
          <cell r="H44">
            <v>72.726673527690494</v>
          </cell>
          <cell r="I44">
            <v>74.835177080932624</v>
          </cell>
        </row>
        <row r="45">
          <cell r="A45" t="str">
            <v>IMPKER</v>
          </cell>
          <cell r="C45" t="str">
            <v>KER</v>
          </cell>
          <cell r="D45">
            <v>1.1087264002132173</v>
          </cell>
          <cell r="E45">
            <v>1.4051987648706992</v>
          </cell>
          <cell r="F45">
            <v>1.8481854151976467</v>
          </cell>
          <cell r="G45">
            <v>2.5380882293713856</v>
          </cell>
          <cell r="H45">
            <v>2.0755161127684851</v>
          </cell>
        </row>
        <row r="46">
          <cell r="A46" t="str">
            <v>IMPBDS</v>
          </cell>
          <cell r="C46" t="str">
            <v>BDS</v>
          </cell>
          <cell r="D46">
            <v>2.3353099128847892</v>
          </cell>
          <cell r="E46">
            <v>2.3780137266388235</v>
          </cell>
          <cell r="F46">
            <v>3.6671655986271854</v>
          </cell>
          <cell r="G46">
            <v>4.0645533014510882</v>
          </cell>
          <cell r="H46">
            <v>3.2460392447771196</v>
          </cell>
          <cell r="I46">
            <v>17.301590776752537</v>
          </cell>
        </row>
        <row r="47">
          <cell r="A47" t="str">
            <v>IMPCOA1</v>
          </cell>
          <cell r="C47" t="str">
            <v>COA</v>
          </cell>
          <cell r="D47">
            <v>3.6600322020762137</v>
          </cell>
          <cell r="E47">
            <v>3.5647257016561915</v>
          </cell>
          <cell r="F47">
            <v>1.1321145706533571</v>
          </cell>
          <cell r="G47">
            <v>6.3467884236475527E-4</v>
          </cell>
          <cell r="H47">
            <v>6.4807298563390541E-4</v>
          </cell>
          <cell r="I47">
            <v>2.0141315688538322E-4</v>
          </cell>
        </row>
        <row r="48">
          <cell r="A48" t="str">
            <v>IMPETH</v>
          </cell>
          <cell r="C48" t="str">
            <v>ETH</v>
          </cell>
          <cell r="D48">
            <v>4.4341520509228616</v>
          </cell>
          <cell r="E48">
            <v>4.3927188767776588</v>
          </cell>
          <cell r="F48">
            <v>3.9676423386040431</v>
          </cell>
          <cell r="G48">
            <v>2.5059826376859955</v>
          </cell>
          <cell r="H48">
            <v>3.3920398697417538</v>
          </cell>
          <cell r="I48">
            <v>0.91706411882031358</v>
          </cell>
        </row>
        <row r="49">
          <cell r="A49" t="str">
            <v>IMPELC_DE</v>
          </cell>
          <cell r="C49" t="str">
            <v>ELC_I-DE</v>
          </cell>
          <cell r="D49">
            <v>46.398483406385218</v>
          </cell>
          <cell r="E49">
            <v>25.735845815098717</v>
          </cell>
          <cell r="F49">
            <v>23.042620092013728</v>
          </cell>
          <cell r="G49">
            <v>31.010062498079158</v>
          </cell>
          <cell r="H49">
            <v>23.919019057715573</v>
          </cell>
          <cell r="I49">
            <v>18.841259378333234</v>
          </cell>
        </row>
        <row r="50">
          <cell r="A50" t="str">
            <v>IMPELC_DE</v>
          </cell>
          <cell r="C50" t="str">
            <v>ELCS</v>
          </cell>
          <cell r="D50">
            <v>46.398483406385218</v>
          </cell>
          <cell r="E50">
            <v>25.735845815098717</v>
          </cell>
          <cell r="F50">
            <v>23.042620092013728</v>
          </cell>
          <cell r="G50">
            <v>31.010062498079158</v>
          </cell>
          <cell r="H50">
            <v>23.919019057715573</v>
          </cell>
          <cell r="I50">
            <v>18.841259378333234</v>
          </cell>
        </row>
        <row r="51">
          <cell r="A51" t="str">
            <v>RNWWST1</v>
          </cell>
          <cell r="C51" t="str">
            <v>WSTREN</v>
          </cell>
          <cell r="D51">
            <v>34.100450998630919</v>
          </cell>
          <cell r="E51">
            <v>34.814590376122538</v>
          </cell>
          <cell r="F51">
            <v>34.814594164581955</v>
          </cell>
          <cell r="G51">
            <v>36.022302246364077</v>
          </cell>
          <cell r="H51">
            <v>36.022356652924266</v>
          </cell>
          <cell r="I51">
            <v>36.022525608615652</v>
          </cell>
        </row>
        <row r="52">
          <cell r="A52" t="str">
            <v>IMPNGA1</v>
          </cell>
          <cell r="C52" t="str">
            <v>NGA</v>
          </cell>
          <cell r="D52">
            <v>117.05288329747826</v>
          </cell>
          <cell r="E52">
            <v>106.72000752518665</v>
          </cell>
          <cell r="F52">
            <v>103.98535361498233</v>
          </cell>
          <cell r="G52">
            <v>74.232389379172588</v>
          </cell>
          <cell r="H52">
            <v>34.190516452258322</v>
          </cell>
          <cell r="I52">
            <v>13.411513575022241</v>
          </cell>
        </row>
        <row r="53">
          <cell r="A53" t="str">
            <v>IMPELC_IT</v>
          </cell>
          <cell r="C53" t="str">
            <v>ELC_I-IT</v>
          </cell>
          <cell r="D53">
            <v>6.7991005494891574</v>
          </cell>
          <cell r="E53">
            <v>2.5758676409023978E-4</v>
          </cell>
          <cell r="F53">
            <v>2.2773385679180776E-4</v>
          </cell>
          <cell r="G53">
            <v>1.047984230454022E-4</v>
          </cell>
          <cell r="H53">
            <v>1.296343764716452E-4</v>
          </cell>
          <cell r="I53">
            <v>9.0349189504093419E-5</v>
          </cell>
        </row>
        <row r="54">
          <cell r="A54" t="str">
            <v>IMPELC_IT</v>
          </cell>
          <cell r="C54" t="str">
            <v>ELCS</v>
          </cell>
          <cell r="D54">
            <v>6.7991005494891574</v>
          </cell>
          <cell r="E54">
            <v>2.5758676409023978E-4</v>
          </cell>
          <cell r="F54">
            <v>2.2773385679180776E-4</v>
          </cell>
          <cell r="G54">
            <v>1.047984230454022E-4</v>
          </cell>
          <cell r="H54">
            <v>1.296343764716452E-4</v>
          </cell>
          <cell r="I54">
            <v>9.0349189504093419E-5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3.2682401322632653</v>
          </cell>
          <cell r="E4">
            <v>3.8319995806525013</v>
          </cell>
          <cell r="F4">
            <v>0.91635661793987877</v>
          </cell>
          <cell r="G4">
            <v>1.18979118040344</v>
          </cell>
          <cell r="H4">
            <v>1.3583650414405437</v>
          </cell>
          <cell r="I4">
            <v>1.1700876733137258</v>
          </cell>
          <cell r="J4"/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3.2682401322632653</v>
          </cell>
          <cell r="E5">
            <v>3.8319995806525013</v>
          </cell>
          <cell r="F5">
            <v>0.91635661793987877</v>
          </cell>
          <cell r="G5">
            <v>1.18979118040344</v>
          </cell>
          <cell r="H5">
            <v>1.3583650414405437</v>
          </cell>
          <cell r="I5">
            <v>1.1700876733137258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5.8529086039309542E-5</v>
          </cell>
          <cell r="F6">
            <v>4.2219860915289521E-5</v>
          </cell>
          <cell r="G6">
            <v>2.3342873627246624E-4</v>
          </cell>
          <cell r="H6">
            <v>9.5578648950091363E-5</v>
          </cell>
          <cell r="I6">
            <v>1.8669009690079516E-4</v>
          </cell>
          <cell r="J6"/>
          <cell r="K6"/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3.2211490626445985E-5</v>
          </cell>
          <cell r="F7">
            <v>3.4525223731077988E-5</v>
          </cell>
          <cell r="G7">
            <v>2.3079428814258711E-4</v>
          </cell>
          <cell r="H7">
            <v>9.7122147915222384E-5</v>
          </cell>
          <cell r="I7">
            <v>1.9177614971952581E-4</v>
          </cell>
          <cell r="J7"/>
          <cell r="K7"/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4.7376414343948903E-5</v>
          </cell>
          <cell r="E8">
            <v>8.4155900124234105E-7</v>
          </cell>
          <cell r="F8">
            <v>5.1931207072521898E-5</v>
          </cell>
          <cell r="G8">
            <v>6.7986367360015501E-7</v>
          </cell>
          <cell r="H8">
            <v>1.45897422309935E-5</v>
          </cell>
          <cell r="I8">
            <v>2.4548592407989701E-5</v>
          </cell>
          <cell r="J8"/>
          <cell r="K8"/>
          <cell r="L8"/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4.7376414343948903E-5</v>
          </cell>
          <cell r="E9">
            <v>4.8217973345191301E-5</v>
          </cell>
          <cell r="F9">
            <v>1.00149180417713E-4</v>
          </cell>
          <cell r="G9">
            <v>1.00829044091313E-4</v>
          </cell>
          <cell r="H9">
            <v>2.4462195678177699E-5</v>
          </cell>
          <cell r="I9">
            <v>3.5225669657021501E-5</v>
          </cell>
          <cell r="J9"/>
        </row>
        <row r="10">
          <cell r="A10" t="str">
            <v>RHNM-SHLFOBR</v>
          </cell>
          <cell r="B10" t="str">
            <v>VAR_fout</v>
          </cell>
          <cell r="C10" t="str">
            <v>CO2_R</v>
          </cell>
          <cell r="D10"/>
          <cell r="E10">
            <v>7.7883172866152805E-4</v>
          </cell>
          <cell r="F10">
            <v>3.8240573703831302</v>
          </cell>
          <cell r="G10">
            <v>4.4222113666957403</v>
          </cell>
          <cell r="H10">
            <v>2.2734669798254998</v>
          </cell>
          <cell r="I10"/>
          <cell r="J10"/>
        </row>
        <row r="11">
          <cell r="A11" t="str">
            <v>RHNM-SHLFOBR</v>
          </cell>
          <cell r="B11" t="str">
            <v>VAR_fout</v>
          </cell>
          <cell r="C11" t="str">
            <v>RHNM-SHLFO</v>
          </cell>
          <cell r="D11"/>
          <cell r="E11">
            <v>9.4668035765619767E-6</v>
          </cell>
          <cell r="F11">
            <v>4.927711049076839E-2</v>
          </cell>
          <cell r="G11">
            <v>5.6986939201403783E-2</v>
          </cell>
          <cell r="H11">
            <v>2.9297090033152447E-2</v>
          </cell>
          <cell r="I11"/>
          <cell r="J11"/>
          <cell r="K11"/>
          <cell r="L11"/>
        </row>
        <row r="12">
          <cell r="A12" t="str">
            <v>RHNM-SHLFOBR</v>
          </cell>
          <cell r="B12" t="str">
            <v>VAR_fin</v>
          </cell>
          <cell r="C12" t="str">
            <v>RLFO</v>
          </cell>
          <cell r="D12"/>
          <cell r="E12">
            <v>1.0567594690115698E-5</v>
          </cell>
          <cell r="F12">
            <v>5.1886802854587945E-2</v>
          </cell>
          <cell r="G12">
            <v>6.0002867933456341E-2</v>
          </cell>
          <cell r="H12">
            <v>3.0847584529518347E-2</v>
          </cell>
          <cell r="I12"/>
        </row>
        <row r="13">
          <cell r="A13" t="str">
            <v>RHNM-SHLFOBR</v>
          </cell>
          <cell r="B13" t="str">
            <v>VAR_ncap</v>
          </cell>
          <cell r="C13" t="str">
            <v>-</v>
          </cell>
          <cell r="D13"/>
          <cell r="E13">
            <v>1.31385741684973E-5</v>
          </cell>
          <cell r="F13">
            <v>1.2848987679489001E-2</v>
          </cell>
          <cell r="G13"/>
          <cell r="H13"/>
          <cell r="I13"/>
          <cell r="J13"/>
          <cell r="K13"/>
        </row>
        <row r="14">
          <cell r="A14" t="str">
            <v>RHNM-SHLFOBR</v>
          </cell>
          <cell r="B14" t="str">
            <v>VAR_cap</v>
          </cell>
          <cell r="C14" t="str">
            <v>-</v>
          </cell>
          <cell r="D14"/>
          <cell r="E14">
            <v>1.31385741684973E-5</v>
          </cell>
          <cell r="F14">
            <v>1.2858597124897226E-2</v>
          </cell>
          <cell r="G14">
            <v>1.2855422830939177E-2</v>
          </cell>
          <cell r="H14">
            <v>2.2758223816918884E-3</v>
          </cell>
          <cell r="I14"/>
          <cell r="J14"/>
          <cell r="K14"/>
          <cell r="L14"/>
          <cell r="M14"/>
        </row>
        <row r="15">
          <cell r="A15" t="str">
            <v>RHNS-SHNGAHP</v>
          </cell>
          <cell r="B15" t="str">
            <v>VAR_fout</v>
          </cell>
          <cell r="C15" t="str">
            <v>CO2_R</v>
          </cell>
          <cell r="D15"/>
          <cell r="E15"/>
          <cell r="F15">
            <v>5.4879686209741596</v>
          </cell>
          <cell r="G15">
            <v>14.7255127664518</v>
          </cell>
          <cell r="H15">
            <v>25.034650116766599</v>
          </cell>
          <cell r="I15">
            <v>28.359051024411901</v>
          </cell>
        </row>
        <row r="16">
          <cell r="A16" t="str">
            <v>RHNS-SHNGAHP</v>
          </cell>
          <cell r="B16" t="str">
            <v>VAR_fout</v>
          </cell>
          <cell r="C16" t="str">
            <v>RHNS-SHANGAH</v>
          </cell>
          <cell r="D16"/>
          <cell r="E16"/>
          <cell r="F16">
            <v>0.18723848120771736</v>
          </cell>
          <cell r="G16">
            <v>0.52266873758599453</v>
          </cell>
          <cell r="H16">
            <v>0.91460900177872206</v>
          </cell>
          <cell r="I16">
            <v>1.0801885205780792</v>
          </cell>
          <cell r="J16"/>
          <cell r="K16"/>
          <cell r="L16"/>
        </row>
        <row r="17">
          <cell r="A17" t="str">
            <v>RHNS-SHNGAHP</v>
          </cell>
          <cell r="B17" t="str">
            <v>VAR_fin</v>
          </cell>
          <cell r="C17" t="str">
            <v>RNGA</v>
          </cell>
          <cell r="D17"/>
          <cell r="E17"/>
          <cell r="F17">
            <v>9.7304408173300563E-2</v>
          </cell>
          <cell r="G17">
            <v>0.26109065188744363</v>
          </cell>
          <cell r="H17">
            <v>0.44387677511997486</v>
          </cell>
          <cell r="I17">
            <v>0.5028200536243238</v>
          </cell>
          <cell r="J17"/>
        </row>
        <row r="18">
          <cell r="A18" t="str">
            <v>RHNS-SHNGAHP</v>
          </cell>
          <cell r="B18" t="str">
            <v>VAR_fin</v>
          </cell>
          <cell r="C18" t="str">
            <v>RHNSELCHPC</v>
          </cell>
          <cell r="D18"/>
          <cell r="E18"/>
          <cell r="F18">
            <v>0.18723848120771736</v>
          </cell>
          <cell r="G18">
            <v>0.52266873758599453</v>
          </cell>
          <cell r="H18">
            <v>0.91460900177872206</v>
          </cell>
          <cell r="I18">
            <v>1.0801885205780792</v>
          </cell>
          <cell r="J18"/>
          <cell r="K18"/>
        </row>
        <row r="19">
          <cell r="A19" t="str">
            <v>RHNS-SHNGAHP</v>
          </cell>
          <cell r="B19" t="str">
            <v>VAR_ncap</v>
          </cell>
          <cell r="C19" t="str">
            <v>-</v>
          </cell>
          <cell r="D19"/>
          <cell r="E19">
            <v>1.8874532654140801E-7</v>
          </cell>
          <cell r="F19">
            <v>1.3659027412694501E-2</v>
          </cell>
          <cell r="G19">
            <v>2.4421807569972101E-2</v>
          </cell>
          <cell r="H19">
            <v>3.1987264634758601E-2</v>
          </cell>
          <cell r="I19">
            <v>4.9126797976707499E-2</v>
          </cell>
          <cell r="J19"/>
          <cell r="K19"/>
          <cell r="L19"/>
        </row>
        <row r="20">
          <cell r="A20" t="str">
            <v>RHNS-SHNGAHP</v>
          </cell>
          <cell r="B20" t="str">
            <v>VAR_cap</v>
          </cell>
          <cell r="C20" t="str">
            <v>-</v>
          </cell>
          <cell r="D20"/>
          <cell r="E20">
            <v>1.8874532654140801E-7</v>
          </cell>
          <cell r="F20">
            <v>1.3659158347615139E-2</v>
          </cell>
          <cell r="G20">
            <v>3.80809402355144E-2</v>
          </cell>
          <cell r="H20">
            <v>6.6669291054813215E-2</v>
          </cell>
          <cell r="I20">
            <v>7.8932535028186701E-2</v>
          </cell>
          <cell r="J20"/>
          <cell r="K20"/>
        </row>
        <row r="21">
          <cell r="A21" t="str">
            <v>ITOT-SWHPLTBR</v>
          </cell>
          <cell r="B21" t="str">
            <v>VAR_fout</v>
          </cell>
          <cell r="C21" t="str">
            <v>ITOT-SWH</v>
          </cell>
          <cell r="D21">
            <v>0.46152680078629754</v>
          </cell>
          <cell r="E21">
            <v>0.54457829017193238</v>
          </cell>
          <cell r="F21">
            <v>2.9109553466241236</v>
          </cell>
          <cell r="G21">
            <v>3.0381232261001143</v>
          </cell>
          <cell r="H21">
            <v>3.0381254733549601</v>
          </cell>
          <cell r="I21">
            <v>3.0381252705710358</v>
          </cell>
          <cell r="J21"/>
          <cell r="K21"/>
        </row>
        <row r="22">
          <cell r="A22" t="str">
            <v>ITOT-SWHPLTBR</v>
          </cell>
          <cell r="B22" t="str">
            <v>VAR_fin</v>
          </cell>
          <cell r="C22" t="str">
            <v>ITOTPLTBRC</v>
          </cell>
          <cell r="D22">
            <v>0.46152680078629754</v>
          </cell>
          <cell r="E22">
            <v>0.54457829017193238</v>
          </cell>
          <cell r="F22">
            <v>2.9109553466241236</v>
          </cell>
          <cell r="G22">
            <v>3.0381232261001143</v>
          </cell>
          <cell r="H22">
            <v>3.0381254733549601</v>
          </cell>
          <cell r="I22">
            <v>3.0381252705710358</v>
          </cell>
          <cell r="J22"/>
          <cell r="K22"/>
          <cell r="L22"/>
        </row>
        <row r="23">
          <cell r="A23" t="str">
            <v>ITOT-SWHPLTBR</v>
          </cell>
          <cell r="B23" t="str">
            <v>VAR_fin</v>
          </cell>
          <cell r="C23" t="str">
            <v>IPLT</v>
          </cell>
          <cell r="D23">
            <v>0.62579905191362417</v>
          </cell>
          <cell r="E23">
            <v>0.73757781964595781</v>
          </cell>
          <cell r="F23">
            <v>3.9359396236044453</v>
          </cell>
          <cell r="G23">
            <v>4.0963459228316097</v>
          </cell>
          <cell r="H23">
            <v>4.0734643218167044</v>
          </cell>
          <cell r="I23">
            <v>4.0508336940947158</v>
          </cell>
        </row>
        <row r="24">
          <cell r="A24" t="str">
            <v>ITOT-SWHPLTBR</v>
          </cell>
          <cell r="B24" t="str">
            <v>VAR_ncap</v>
          </cell>
          <cell r="C24" t="str">
            <v>-</v>
          </cell>
          <cell r="D24"/>
          <cell r="E24">
            <v>8.0721553218824193E-3</v>
          </cell>
          <cell r="F24">
            <v>0.12678249962684299</v>
          </cell>
          <cell r="G24">
            <v>8.2536174415383592E-3</v>
          </cell>
          <cell r="H24">
            <v>0.12089260525920099</v>
          </cell>
          <cell r="I24">
            <v>9.1211771405459399E-2</v>
          </cell>
          <cell r="J24"/>
        </row>
        <row r="25">
          <cell r="A25" t="str">
            <v>ITOT-SWHPLTBR</v>
          </cell>
          <cell r="B25" t="str">
            <v>VAR_cap</v>
          </cell>
          <cell r="C25" t="str">
            <v>-</v>
          </cell>
          <cell r="D25">
            <v>2.9860759506449799E-2</v>
          </cell>
          <cell r="E25">
            <v>3.7931791444288557E-2</v>
          </cell>
          <cell r="F25">
            <v>0.16471287940342091</v>
          </cell>
          <cell r="G25">
            <v>0.17296516227257697</v>
          </cell>
          <cell r="H25">
            <v>0.21760340052929142</v>
          </cell>
          <cell r="I25">
            <v>0.20797204539190578</v>
          </cell>
        </row>
        <row r="26">
          <cell r="A26" t="str">
            <v>D-RHNS_KEV_WOD_ELC_CHP</v>
          </cell>
          <cell r="B26" t="str">
            <v>VAR_fout</v>
          </cell>
          <cell r="C26" t="str">
            <v>RHNS_ELC</v>
          </cell>
          <cell r="D26"/>
          <cell r="E26"/>
          <cell r="F26"/>
          <cell r="G26">
            <v>2.0020322886357808E-4</v>
          </cell>
          <cell r="H26">
            <v>5.2879763018252109E-4</v>
          </cell>
          <cell r="I26">
            <v>2.4454534674901897E-4</v>
          </cell>
        </row>
        <row r="27">
          <cell r="A27" t="str">
            <v>D-RHNS_KEV_WOD_ELC_CHP</v>
          </cell>
          <cell r="B27" t="str">
            <v>VAR_fout</v>
          </cell>
          <cell r="C27" t="str">
            <v>ELC5</v>
          </cell>
          <cell r="D27"/>
          <cell r="E27"/>
          <cell r="F27"/>
          <cell r="G27">
            <v>2.0039113634318892E-4</v>
          </cell>
          <cell r="H27">
            <v>5.2904228367593644E-4</v>
          </cell>
          <cell r="I27">
            <v>2.4463505420335967E-4</v>
          </cell>
        </row>
        <row r="28">
          <cell r="A28" t="str">
            <v>D-RHNS_KEV_WOD_ELC_CHP</v>
          </cell>
          <cell r="B28" t="str">
            <v>VAR_fin</v>
          </cell>
          <cell r="C28" t="str">
            <v>RHNS_KEV_WOD_ELC_CHP</v>
          </cell>
          <cell r="D28"/>
          <cell r="E28"/>
          <cell r="F28"/>
          <cell r="G28">
            <v>3.9213397378532171E-4</v>
          </cell>
          <cell r="H28">
            <v>1.0505142904316778E-3</v>
          </cell>
          <cell r="I28">
            <v>4.8216655052715237E-4</v>
          </cell>
          <cell r="J28"/>
          <cell r="K28"/>
        </row>
        <row r="29">
          <cell r="A29" t="str">
            <v>RHSA-WHWODBR</v>
          </cell>
          <cell r="B29" t="str">
            <v>VAR_fout</v>
          </cell>
          <cell r="C29" t="str">
            <v>RHSA-WHWOD</v>
          </cell>
          <cell r="D29">
            <v>0.52047843435522367</v>
          </cell>
          <cell r="E29">
            <v>0.59724824801603227</v>
          </cell>
          <cell r="F29">
            <v>1.2970017564319043</v>
          </cell>
          <cell r="G29">
            <v>1.299228813555461</v>
          </cell>
          <cell r="H29">
            <v>1.2011281854961442</v>
          </cell>
          <cell r="I29">
            <v>0.94484047757353706</v>
          </cell>
          <cell r="J29"/>
          <cell r="K29"/>
        </row>
        <row r="30">
          <cell r="A30" t="str">
            <v>RHSA-WHWODBR</v>
          </cell>
          <cell r="B30" t="str">
            <v>VAR_fin</v>
          </cell>
          <cell r="C30" t="str">
            <v>RWOD</v>
          </cell>
          <cell r="D30">
            <v>1.0409568687104478</v>
          </cell>
          <cell r="E30">
            <v>1.1944964960320645</v>
          </cell>
          <cell r="F30">
            <v>2.9567698394285769</v>
          </cell>
          <cell r="G30">
            <v>2.8752888057114889</v>
          </cell>
          <cell r="H30">
            <v>2.5360465946984689</v>
          </cell>
          <cell r="I30">
            <v>1.8977995502353151</v>
          </cell>
          <cell r="J30"/>
          <cell r="K30"/>
        </row>
        <row r="31">
          <cell r="A31" t="str">
            <v>RHSA-WHWODBR</v>
          </cell>
          <cell r="B31" t="str">
            <v>VAR_ncap</v>
          </cell>
          <cell r="C31" t="str">
            <v>-</v>
          </cell>
          <cell r="D31"/>
          <cell r="E31">
            <v>5.3509248639763496E-3</v>
          </cell>
          <cell r="F31">
            <v>4.5218572654071497E-2</v>
          </cell>
          <cell r="G31">
            <v>2.9204408142965601E-3</v>
          </cell>
          <cell r="H31">
            <v>5.1575732360586303E-2</v>
          </cell>
          <cell r="I31">
            <v>1.8781670464964699E-2</v>
          </cell>
          <cell r="J31"/>
          <cell r="K31"/>
        </row>
        <row r="32">
          <cell r="A32" t="str">
            <v>RHSA-WHWODBR</v>
          </cell>
          <cell r="B32" t="str">
            <v>VAR_cap</v>
          </cell>
          <cell r="C32" t="str">
            <v>-</v>
          </cell>
          <cell r="D32">
            <v>3.5322010722483803E-2</v>
          </cell>
          <cell r="E32">
            <v>4.0672853494020354E-2</v>
          </cell>
          <cell r="F32">
            <v>8.589124198212307E-2</v>
          </cell>
          <cell r="G32">
            <v>8.8811561591750146E-2</v>
          </cell>
          <cell r="H32">
            <v>8.6750075931197865E-2</v>
          </cell>
          <cell r="I32">
            <v>6.6858921357855663E-2</v>
          </cell>
          <cell r="J32"/>
          <cell r="K32"/>
        </row>
        <row r="33">
          <cell r="A33" t="str">
            <v>RHES-SHWODBR</v>
          </cell>
          <cell r="B33" t="str">
            <v>VAR_fout</v>
          </cell>
          <cell r="C33" t="str">
            <v>RHES-SHWOD</v>
          </cell>
          <cell r="D33">
            <v>4.3871611757532794</v>
          </cell>
          <cell r="E33">
            <v>5.0342751894461824</v>
          </cell>
          <cell r="F33">
            <v>5.4768443411461476</v>
          </cell>
          <cell r="G33">
            <v>4.4910793240432296</v>
          </cell>
          <cell r="H33">
            <v>2.822512303856112</v>
          </cell>
          <cell r="I33">
            <v>1.5421372298840681</v>
          </cell>
          <cell r="J33"/>
          <cell r="K33"/>
        </row>
        <row r="34">
          <cell r="A34" t="str">
            <v>RHES-SHWODBR</v>
          </cell>
          <cell r="B34" t="str">
            <v>VAR_fin</v>
          </cell>
          <cell r="C34" t="str">
            <v>RWOD</v>
          </cell>
          <cell r="D34">
            <v>6.0932794107684467</v>
          </cell>
          <cell r="E34">
            <v>6.992048874230818</v>
          </cell>
          <cell r="F34">
            <v>7.6443926605710164</v>
          </cell>
          <cell r="G34">
            <v>6.2052997037146911</v>
          </cell>
          <cell r="H34">
            <v>3.8531299703891198</v>
          </cell>
          <cell r="I34">
            <v>2.0465344536893895</v>
          </cell>
          <cell r="J34"/>
        </row>
        <row r="35">
          <cell r="A35" t="str">
            <v>RHES-SHWODBR</v>
          </cell>
          <cell r="B35" t="str">
            <v>VAR_ncap</v>
          </cell>
          <cell r="C35" t="str">
            <v>-</v>
          </cell>
          <cell r="D35"/>
          <cell r="E35">
            <v>5.2288746285726898E-2</v>
          </cell>
          <cell r="F35">
            <v>3.5752293948874303E-2</v>
          </cell>
          <cell r="G35">
            <v>9.2059094918024606E-8</v>
          </cell>
          <cell r="H35">
            <v>8.5990928088281293E-2</v>
          </cell>
          <cell r="I35">
            <v>4.89944940314971E-3</v>
          </cell>
          <cell r="J35"/>
        </row>
        <row r="36">
          <cell r="A36" t="str">
            <v>RHES-SHWODBR</v>
          </cell>
          <cell r="B36" t="str">
            <v>VAR_cap</v>
          </cell>
          <cell r="C36" t="str">
            <v>-</v>
          </cell>
          <cell r="D36">
            <v>0.354428052062076</v>
          </cell>
          <cell r="E36">
            <v>0.4067167535782254</v>
          </cell>
          <cell r="F36">
            <v>0.4424690061294328</v>
          </cell>
          <cell r="G36">
            <v>0.44246744465524013</v>
          </cell>
          <cell r="H36">
            <v>0.22826708011372229</v>
          </cell>
          <cell r="I36">
            <v>0.12480935801955489</v>
          </cell>
          <cell r="J36"/>
        </row>
        <row r="37">
          <cell r="A37" t="str">
            <v>D-EH2</v>
          </cell>
          <cell r="B37" t="str">
            <v>VAR_fout</v>
          </cell>
          <cell r="C37" t="str">
            <v>EH2</v>
          </cell>
          <cell r="D37"/>
          <cell r="E37"/>
          <cell r="F37"/>
          <cell r="G37"/>
          <cell r="H37">
            <v>0.38988547791006645</v>
          </cell>
          <cell r="I37">
            <v>0.38760801119276506</v>
          </cell>
          <cell r="J37"/>
          <cell r="K37"/>
          <cell r="L37"/>
          <cell r="M37"/>
        </row>
        <row r="38">
          <cell r="A38" t="str">
            <v>D-EH2</v>
          </cell>
          <cell r="B38" t="str">
            <v>VAR_fin</v>
          </cell>
          <cell r="C38" t="str">
            <v>H2</v>
          </cell>
          <cell r="D38"/>
          <cell r="E38"/>
          <cell r="F38"/>
          <cell r="G38"/>
          <cell r="H38">
            <v>0.39382371506067315</v>
          </cell>
          <cell r="I38">
            <v>0.39152324362905566</v>
          </cell>
          <cell r="J38"/>
          <cell r="K38"/>
          <cell r="L38"/>
          <cell r="M38"/>
        </row>
        <row r="39">
          <cell r="A39" t="str">
            <v>D-EH2</v>
          </cell>
          <cell r="B39" t="str">
            <v>VAR_ncap</v>
          </cell>
          <cell r="C39" t="str">
            <v>-</v>
          </cell>
          <cell r="D39"/>
          <cell r="E39"/>
          <cell r="F39"/>
          <cell r="G39">
            <v>4.3173101202602401E-7</v>
          </cell>
          <cell r="H39">
            <v>4.2673372800466201E-2</v>
          </cell>
          <cell r="I39">
            <v>2.3620505761827601E-6</v>
          </cell>
        </row>
        <row r="40">
          <cell r="A40" t="str">
            <v>D-EH2</v>
          </cell>
          <cell r="B40" t="str">
            <v>VAR_cap</v>
          </cell>
          <cell r="C40" t="str">
            <v>-</v>
          </cell>
          <cell r="D40"/>
          <cell r="E40"/>
          <cell r="F40"/>
          <cell r="G40">
            <v>4.3173101202602401E-7</v>
          </cell>
          <cell r="H40">
            <v>4.2675075100556403E-2</v>
          </cell>
          <cell r="I40">
            <v>4.2677437151132598E-2</v>
          </cell>
        </row>
        <row r="41">
          <cell r="A41" t="str">
            <v>SCOM-SHWODBR</v>
          </cell>
          <cell r="B41" t="str">
            <v>VAR_fout</v>
          </cell>
          <cell r="C41" t="str">
            <v>SCOM-SHWOD</v>
          </cell>
          <cell r="D41">
            <v>6.1735480802587341</v>
          </cell>
          <cell r="E41">
            <v>6.9002066416090226</v>
          </cell>
          <cell r="F41">
            <v>7.7368760494142306</v>
          </cell>
          <cell r="G41">
            <v>7.5157047181423451</v>
          </cell>
          <cell r="H41">
            <v>5.8117380821128979</v>
          </cell>
          <cell r="I41">
            <v>3.8957572567190728</v>
          </cell>
          <cell r="J41"/>
          <cell r="K41"/>
        </row>
        <row r="42">
          <cell r="A42" t="str">
            <v>SCOM-SHWODBR</v>
          </cell>
          <cell r="B42" t="str">
            <v>VAR_fin</v>
          </cell>
          <cell r="C42" t="str">
            <v>SWOD</v>
          </cell>
          <cell r="D42">
            <v>8.5743723336926845</v>
          </cell>
          <cell r="E42">
            <v>9.5836203355680905</v>
          </cell>
          <cell r="F42">
            <v>11.447822870455386</v>
          </cell>
          <cell r="G42">
            <v>11.108980542294901</v>
          </cell>
          <cell r="H42">
            <v>8.5344234785543449</v>
          </cell>
          <cell r="I42">
            <v>5.5824274349647451</v>
          </cell>
          <cell r="J42"/>
          <cell r="K42"/>
        </row>
        <row r="43">
          <cell r="A43" t="str">
            <v>SCOM-SHWODBR</v>
          </cell>
          <cell r="B43" t="str">
            <v>VAR_ncap</v>
          </cell>
          <cell r="C43" t="str">
            <v>-</v>
          </cell>
          <cell r="D43">
            <v>3.9576522693383496E-6</v>
          </cell>
          <cell r="E43">
            <v>5.4981437438565803E-2</v>
          </cell>
          <cell r="F43">
            <v>6.4668139946588196E-2</v>
          </cell>
          <cell r="G43">
            <v>6.1681308715537496E-7</v>
          </cell>
          <cell r="H43">
            <v>0.13747449120938901</v>
          </cell>
          <cell r="I43">
            <v>0.126107533147026</v>
          </cell>
          <cell r="J43"/>
          <cell r="K43"/>
        </row>
        <row r="44">
          <cell r="A44" t="str">
            <v>SCOM-SHWODBR</v>
          </cell>
          <cell r="B44" t="str">
            <v>VAR_cap</v>
          </cell>
          <cell r="C44" t="str">
            <v>-</v>
          </cell>
          <cell r="D44">
            <v>0.47842423546938134</v>
          </cell>
          <cell r="E44">
            <v>0.53340553157629012</v>
          </cell>
          <cell r="F44">
            <v>0.59807349839809143</v>
          </cell>
          <cell r="G44">
            <v>0.5980681892415638</v>
          </cell>
          <cell r="H44">
            <v>0.45667500343360473</v>
          </cell>
          <cell r="I44">
            <v>0.35605227526696831</v>
          </cell>
          <cell r="J44"/>
          <cell r="K44"/>
          <cell r="L44"/>
        </row>
        <row r="45">
          <cell r="A45" t="str">
            <v>ITOT-SWHLTHCHP</v>
          </cell>
          <cell r="B45" t="str">
            <v>VAR_fout</v>
          </cell>
          <cell r="C45" t="str">
            <v>ITOT-SWH</v>
          </cell>
          <cell r="D45">
            <v>5.1850617746033549</v>
          </cell>
          <cell r="E45">
            <v>5.5675613349658724</v>
          </cell>
          <cell r="F45">
            <v>5.6945350996910546</v>
          </cell>
          <cell r="G45">
            <v>7.2037825925867516</v>
          </cell>
          <cell r="H45">
            <v>8.1113362693944921</v>
          </cell>
          <cell r="I45">
            <v>11.176226588382503</v>
          </cell>
          <cell r="J45"/>
          <cell r="K45"/>
        </row>
        <row r="46">
          <cell r="A46" t="str">
            <v>ITOT-SWHLTHCHP</v>
          </cell>
          <cell r="B46" t="str">
            <v>VAR_fin</v>
          </cell>
          <cell r="C46" t="str">
            <v>ITOTLTHCHPC</v>
          </cell>
          <cell r="D46">
            <v>5.1850617746033549</v>
          </cell>
          <cell r="E46">
            <v>5.5675613349658724</v>
          </cell>
          <cell r="F46">
            <v>5.6945350996910546</v>
          </cell>
          <cell r="G46">
            <v>7.2037825925867516</v>
          </cell>
          <cell r="H46">
            <v>8.1113362693944921</v>
          </cell>
          <cell r="I46">
            <v>11.176226588382503</v>
          </cell>
          <cell r="J46"/>
          <cell r="K46"/>
        </row>
        <row r="47">
          <cell r="A47" t="str">
            <v>ITOT-SWHLTHCHP</v>
          </cell>
          <cell r="B47" t="str">
            <v>VAR_fin</v>
          </cell>
          <cell r="C47" t="str">
            <v>ITOT_LTH_CHP_ON</v>
          </cell>
          <cell r="D47">
            <v>5.6086478211292174</v>
          </cell>
          <cell r="E47">
            <v>6.0095235464268635</v>
          </cell>
          <cell r="F47">
            <v>6.1269341867590246</v>
          </cell>
          <cell r="G47">
            <v>7.709719263998756</v>
          </cell>
          <cell r="H47">
            <v>8.5899941058330818</v>
          </cell>
          <cell r="I47">
            <v>11.764449040402642</v>
          </cell>
          <cell r="J47"/>
          <cell r="K47"/>
        </row>
        <row r="48">
          <cell r="A48" t="str">
            <v>ITOT-SWHLTHCHP</v>
          </cell>
          <cell r="B48" t="str">
            <v>VAR_ncap</v>
          </cell>
          <cell r="C48" t="str">
            <v>-</v>
          </cell>
          <cell r="D48"/>
          <cell r="E48">
            <v>2.2189094491081699E-2</v>
          </cell>
          <cell r="F48">
            <v>8.1424639770127205E-2</v>
          </cell>
          <cell r="G48">
            <v>2.5202890962186801E-2</v>
          </cell>
          <cell r="H48">
            <v>0.26267895861197399</v>
          </cell>
          <cell r="I48">
            <v>0.50052471848098901</v>
          </cell>
          <cell r="J48"/>
          <cell r="K48"/>
        </row>
        <row r="49">
          <cell r="A49" t="str">
            <v>ITOT-SWHLTHCHP</v>
          </cell>
          <cell r="B49" t="str">
            <v>VAR_cap</v>
          </cell>
          <cell r="C49" t="str">
            <v>-</v>
          </cell>
          <cell r="D49">
            <v>0.62661755442165901</v>
          </cell>
          <cell r="E49">
            <v>0.40017222371082772</v>
          </cell>
          <cell r="F49">
            <v>0.46361447897110203</v>
          </cell>
          <cell r="G49">
            <v>0.42717358742325101</v>
          </cell>
          <cell r="H49">
            <v>0.51707495068547038</v>
          </cell>
          <cell r="I49">
            <v>0.77912133125161709</v>
          </cell>
          <cell r="J49"/>
          <cell r="K49"/>
        </row>
        <row r="50">
          <cell r="A50" t="str">
            <v>RHSA-WHSTG-NGAHP</v>
          </cell>
          <cell r="B50" t="str">
            <v>VAR_fout</v>
          </cell>
          <cell r="C50" t="str">
            <v>RHSA-WHANGAH</v>
          </cell>
          <cell r="D50"/>
          <cell r="E50"/>
          <cell r="F50">
            <v>1.1296922666268231E-3</v>
          </cell>
          <cell r="G50">
            <v>1.4839661933909664E-3</v>
          </cell>
          <cell r="H50">
            <v>1.7996621249443093E-3</v>
          </cell>
          <cell r="I50">
            <v>5.1671707001472338E-4</v>
          </cell>
          <cell r="J50"/>
          <cell r="K50"/>
        </row>
        <row r="51">
          <cell r="A51" t="str">
            <v>RHSA-WHSTG-NGAHP</v>
          </cell>
          <cell r="B51" t="str">
            <v>VAR_fin</v>
          </cell>
          <cell r="C51" t="str">
            <v>RHSA-WHANGAH</v>
          </cell>
          <cell r="D51"/>
          <cell r="E51"/>
          <cell r="F51">
            <v>1.1426079064082181E-3</v>
          </cell>
          <cell r="G51">
            <v>1.4950209780085985E-3</v>
          </cell>
          <cell r="H51">
            <v>1.8030239244985341E-3</v>
          </cell>
          <cell r="I51">
            <v>5.228698935073957E-4</v>
          </cell>
          <cell r="J51"/>
          <cell r="K51"/>
        </row>
        <row r="52">
          <cell r="A52" t="str">
            <v>RHSA-WHSTG-NGAHP</v>
          </cell>
          <cell r="B52" t="str">
            <v>VAR_ncap</v>
          </cell>
          <cell r="C52" t="str">
            <v>-</v>
          </cell>
          <cell r="D52">
            <v>5.6441587423052103E-6</v>
          </cell>
          <cell r="E52">
            <v>7.9124417734348198E-6</v>
          </cell>
          <cell r="F52">
            <v>1.3850117210586601E-2</v>
          </cell>
          <cell r="G52">
            <v>1.43234469132988E-2</v>
          </cell>
          <cell r="H52">
            <v>3.1000335568265001E-2</v>
          </cell>
          <cell r="I52">
            <v>3.67447149610131E-2</v>
          </cell>
          <cell r="J52"/>
          <cell r="K52"/>
        </row>
        <row r="53">
          <cell r="A53" t="str">
            <v>RHSA-WHSTG-NGAHP</v>
          </cell>
          <cell r="B53" t="str">
            <v>VAR_cap</v>
          </cell>
          <cell r="C53" t="str">
            <v>-</v>
          </cell>
          <cell r="D53">
            <v>5.6484985823657145E-6</v>
          </cell>
          <cell r="E53">
            <v>4.093452168352026E-7</v>
          </cell>
          <cell r="F53">
            <v>1.3847373902321613E-2</v>
          </cell>
          <cell r="G53">
            <v>2.8166885325614656E-2</v>
          </cell>
          <cell r="H53">
            <v>5.743351105789004E-2</v>
          </cell>
          <cell r="I53">
            <v>6.5238844473661475E-2</v>
          </cell>
          <cell r="J53"/>
          <cell r="K53"/>
        </row>
        <row r="54">
          <cell r="A54" t="str">
            <v>D-RES_LTH</v>
          </cell>
          <cell r="B54" t="str">
            <v>VAR_fout</v>
          </cell>
          <cell r="C54" t="str">
            <v>RHNS_LTH_DH</v>
          </cell>
          <cell r="D54"/>
          <cell r="E54">
            <v>5.4465860228825838E-2</v>
          </cell>
          <cell r="F54">
            <v>3.0832989881449972E-3</v>
          </cell>
          <cell r="G54">
            <v>0.11272561431489533</v>
          </cell>
          <cell r="H54">
            <v>0.12263970040745209</v>
          </cell>
          <cell r="I54">
            <v>0.13347396001181211</v>
          </cell>
          <cell r="J54"/>
          <cell r="K54"/>
        </row>
        <row r="55">
          <cell r="A55" t="str">
            <v>D-RES_LTH</v>
          </cell>
          <cell r="B55" t="str">
            <v>VAR_fout</v>
          </cell>
          <cell r="C55" t="str">
            <v>RHEM_LTH_DH</v>
          </cell>
          <cell r="D55">
            <v>3.4367852540720678</v>
          </cell>
          <cell r="E55">
            <v>3.8270022750996504</v>
          </cell>
          <cell r="F55">
            <v>4.9530290719735977</v>
          </cell>
          <cell r="G55">
            <v>5.6451583664270375</v>
          </cell>
          <cell r="H55">
            <v>5.8413907536006038</v>
          </cell>
          <cell r="I55">
            <v>5.2115567227399628</v>
          </cell>
          <cell r="J55"/>
          <cell r="K55"/>
        </row>
        <row r="56">
          <cell r="A56" t="str">
            <v>D-RES_LTH</v>
          </cell>
          <cell r="B56" t="str">
            <v>VAR_fout</v>
          </cell>
          <cell r="C56" t="str">
            <v>RHES_LTH_DH</v>
          </cell>
          <cell r="D56">
            <v>3.1847432628028431</v>
          </cell>
          <cell r="E56">
            <v>3.5391924864249447</v>
          </cell>
          <cell r="F56">
            <v>1.5974686249616021</v>
          </cell>
          <cell r="G56">
            <v>1.9430495427027654</v>
          </cell>
          <cell r="H56">
            <v>2.1572785767789902</v>
          </cell>
          <cell r="I56">
            <v>2.0147200434427308</v>
          </cell>
          <cell r="J56"/>
          <cell r="K56"/>
        </row>
        <row r="57">
          <cell r="A57" t="str">
            <v>D-RES_LTH</v>
          </cell>
          <cell r="B57" t="str">
            <v>VAR_fout</v>
          </cell>
          <cell r="C57" t="str">
            <v>RHSA_LTH</v>
          </cell>
          <cell r="D57">
            <v>1.7184797023719103</v>
          </cell>
          <cell r="E57">
            <v>1.7771206207831864</v>
          </cell>
          <cell r="F57">
            <v>1.5792266994506408</v>
          </cell>
          <cell r="G57">
            <v>1.6314286774396276</v>
          </cell>
          <cell r="H57">
            <v>1.590466628836432</v>
          </cell>
          <cell r="I57">
            <v>2.3133782713974953</v>
          </cell>
          <cell r="J57"/>
          <cell r="K57"/>
        </row>
        <row r="58">
          <cell r="A58" t="str">
            <v>D-RES_LTH</v>
          </cell>
          <cell r="B58" t="str">
            <v>VAR_fout</v>
          </cell>
          <cell r="C58" t="str">
            <v>RHNM_LTH_DH</v>
          </cell>
          <cell r="D58"/>
          <cell r="E58">
            <v>0.35009645699931846</v>
          </cell>
          <cell r="F58">
            <v>5.6492066205753928E-2</v>
          </cell>
          <cell r="G58">
            <v>0.20392547913753092</v>
          </cell>
          <cell r="H58">
            <v>0.25430352142578261</v>
          </cell>
          <cell r="I58">
            <v>0.28627565845459252</v>
          </cell>
          <cell r="J58"/>
          <cell r="K58"/>
        </row>
        <row r="59">
          <cell r="A59" t="str">
            <v>D-RES_LTH</v>
          </cell>
          <cell r="B59" t="str">
            <v>VAR_fin</v>
          </cell>
          <cell r="C59" t="str">
            <v>LTH</v>
          </cell>
          <cell r="D59">
            <v>9.2187371346112172</v>
          </cell>
          <cell r="E59">
            <v>10.553813167575658</v>
          </cell>
          <cell r="F59">
            <v>9.0319763707874721</v>
          </cell>
          <cell r="G59">
            <v>10.478775270837774</v>
          </cell>
          <cell r="H59">
            <v>10.870825245583703</v>
          </cell>
          <cell r="I59">
            <v>10.784545786606378</v>
          </cell>
          <cell r="J59"/>
          <cell r="K59"/>
        </row>
        <row r="60">
          <cell r="A60" t="str">
            <v>D-RES_LTH</v>
          </cell>
          <cell r="B60" t="str">
            <v>VAR_ncap</v>
          </cell>
          <cell r="C60" t="str">
            <v>-</v>
          </cell>
          <cell r="D60">
            <v>0.62767437350211197</v>
          </cell>
          <cell r="E60">
            <v>9.4207347412704305E-7</v>
          </cell>
          <cell r="F60">
            <v>3.7964419428971001E-8</v>
          </cell>
          <cell r="G60">
            <v>4.3896530247263603E-8</v>
          </cell>
          <cell r="H60">
            <v>8.2028423009139205E-8</v>
          </cell>
          <cell r="I60">
            <v>7.3561748631299604E-8</v>
          </cell>
          <cell r="J60"/>
          <cell r="K60"/>
        </row>
        <row r="61">
          <cell r="A61" t="str">
            <v>D-RES_LTH</v>
          </cell>
          <cell r="B61" t="str">
            <v>VAR_cap</v>
          </cell>
          <cell r="C61" t="str">
            <v>-</v>
          </cell>
          <cell r="D61">
            <v>0.62767437350211197</v>
          </cell>
          <cell r="E61">
            <v>0.62767531557558598</v>
          </cell>
          <cell r="F61">
            <v>0.62767535354000503</v>
          </cell>
          <cell r="G61">
            <v>0.627675397436536</v>
          </cell>
          <cell r="H61">
            <v>0.62767559765483905</v>
          </cell>
          <cell r="I61">
            <v>0.62767567121658696</v>
          </cell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ELC5</v>
          </cell>
          <cell r="D62">
            <v>1.3502003710882808E-2</v>
          </cell>
          <cell r="E62">
            <v>2.1496416129024247E-2</v>
          </cell>
          <cell r="F62">
            <v>2.1607482308364907E-2</v>
          </cell>
          <cell r="G62">
            <v>8.7723092661232349E-2</v>
          </cell>
          <cell r="H62">
            <v>3.5910288035272783E-2</v>
          </cell>
          <cell r="I62"/>
          <cell r="J62"/>
          <cell r="K62"/>
        </row>
        <row r="63">
          <cell r="A63" t="str">
            <v>D-RHEM_NKEV_GAS_ELC_CHP</v>
          </cell>
          <cell r="B63" t="str">
            <v>VAR_fout</v>
          </cell>
          <cell r="C63" t="str">
            <v>RHEM_ELC</v>
          </cell>
          <cell r="D63">
            <v>1.4216809342837155E-2</v>
          </cell>
          <cell r="E63">
            <v>2.1464914218104598E-2</v>
          </cell>
          <cell r="F63">
            <v>2.156919293856184E-2</v>
          </cell>
          <cell r="G63">
            <v>8.7289191942524227E-2</v>
          </cell>
          <cell r="H63">
            <v>3.5873920865414466E-2</v>
          </cell>
          <cell r="I63"/>
          <cell r="J63"/>
        </row>
        <row r="64">
          <cell r="A64" t="str">
            <v>D-RHEM_NKEV_GAS_ELC_CHP</v>
          </cell>
          <cell r="B64" t="str">
            <v>VAR_fin</v>
          </cell>
          <cell r="C64" t="str">
            <v>RHEM_NKEV_GAS_ELC_CHP</v>
          </cell>
          <cell r="D64">
            <v>2.7718813053719971E-2</v>
          </cell>
          <cell r="E64">
            <v>4.2961330347128804E-2</v>
          </cell>
          <cell r="F64">
            <v>4.3167359502793823E-2</v>
          </cell>
          <cell r="G64">
            <v>0.1750046757452359</v>
          </cell>
          <cell r="H64">
            <v>7.1772093080779739E-2</v>
          </cell>
          <cell r="I64"/>
          <cell r="J64"/>
        </row>
        <row r="65">
          <cell r="A65" t="str">
            <v>SCOM-SHDEM</v>
          </cell>
          <cell r="B65" t="str">
            <v>VAR_fout</v>
          </cell>
          <cell r="C65" t="str">
            <v>SCOM-SHD</v>
          </cell>
          <cell r="D65">
            <v>73.238357357305546</v>
          </cell>
          <cell r="E65">
            <v>78.574017670997847</v>
          </cell>
          <cell r="F65">
            <v>62.438622610782346</v>
          </cell>
          <cell r="G65">
            <v>60.785224452647135</v>
          </cell>
          <cell r="H65">
            <v>59.810410967361207</v>
          </cell>
          <cell r="I65">
            <v>58.235234850623769</v>
          </cell>
          <cell r="J65"/>
        </row>
        <row r="66">
          <cell r="A66" t="str">
            <v>SCOM-SHDEM</v>
          </cell>
          <cell r="B66" t="str">
            <v>VAR_fin</v>
          </cell>
          <cell r="C66" t="str">
            <v>SCOM-SHCON</v>
          </cell>
          <cell r="D66"/>
          <cell r="E66">
            <v>6.9645363509229341</v>
          </cell>
          <cell r="F66">
            <v>2.315427277358832</v>
          </cell>
          <cell r="G66">
            <v>4.5920912816719754</v>
          </cell>
          <cell r="H66">
            <v>8.9354937173706332</v>
          </cell>
          <cell r="I66">
            <v>12.985094553701746</v>
          </cell>
          <cell r="J66"/>
        </row>
        <row r="67">
          <cell r="A67" t="str">
            <v>SCOM-SHDEM</v>
          </cell>
          <cell r="B67" t="str">
            <v>VAR_fin</v>
          </cell>
          <cell r="C67" t="str">
            <v>SCOM-SHWOD</v>
          </cell>
          <cell r="D67">
            <v>6.1735480802587341</v>
          </cell>
          <cell r="E67">
            <v>6.9002066416090226</v>
          </cell>
          <cell r="F67">
            <v>7.7368760494142306</v>
          </cell>
          <cell r="G67">
            <v>7.5157047181423451</v>
          </cell>
          <cell r="H67">
            <v>5.8117380821128979</v>
          </cell>
          <cell r="I67">
            <v>3.8957572567190728</v>
          </cell>
          <cell r="J67"/>
          <cell r="K67"/>
        </row>
        <row r="68">
          <cell r="A68" t="str">
            <v>SCOM-SHDEM</v>
          </cell>
          <cell r="B68" t="str">
            <v>VAR_fin</v>
          </cell>
          <cell r="C68" t="str">
            <v>SCOM-SHLTHD</v>
          </cell>
          <cell r="D68">
            <v>5.5539048092603815</v>
          </cell>
          <cell r="E68">
            <v>6.0159375942529856</v>
          </cell>
          <cell r="F68">
            <v>4.9037774653385888</v>
          </cell>
          <cell r="G68">
            <v>5.9987517392518201</v>
          </cell>
          <cell r="H68">
            <v>6.6718138063631622</v>
          </cell>
          <cell r="I68">
            <v>6.1436362454084934</v>
          </cell>
          <cell r="J68"/>
          <cell r="K68"/>
        </row>
        <row r="69">
          <cell r="A69" t="str">
            <v>SCOM-SHDEM</v>
          </cell>
          <cell r="B69" t="str">
            <v>VAR_fin</v>
          </cell>
          <cell r="C69" t="str">
            <v>SCOM-SHELCB</v>
          </cell>
          <cell r="D69">
            <v>2.3940374654200105</v>
          </cell>
          <cell r="E69">
            <v>0.25524732169014785</v>
          </cell>
          <cell r="F69">
            <v>0.51353195758871895</v>
          </cell>
          <cell r="G69">
            <v>0.29210417851335307</v>
          </cell>
          <cell r="H69">
            <v>0.21407241156902426</v>
          </cell>
          <cell r="I69">
            <v>0.16091999875295396</v>
          </cell>
          <cell r="J69"/>
        </row>
        <row r="70">
          <cell r="A70" t="str">
            <v>SCOM-SHDEM</v>
          </cell>
          <cell r="B70" t="str">
            <v>VAR_fin</v>
          </cell>
          <cell r="C70" t="str">
            <v>SCOM-SHBIO</v>
          </cell>
          <cell r="D70">
            <v>1.2230712972579456</v>
          </cell>
          <cell r="E70">
            <v>1.340772779888358</v>
          </cell>
          <cell r="F70"/>
          <cell r="G70"/>
          <cell r="H70"/>
          <cell r="I70"/>
          <cell r="J70"/>
        </row>
        <row r="71">
          <cell r="A71" t="str">
            <v>SCOM-SHDEM</v>
          </cell>
          <cell r="B71" t="str">
            <v>VAR_fin</v>
          </cell>
          <cell r="C71" t="str">
            <v>SCOM-SHELCH</v>
          </cell>
          <cell r="D71">
            <v>4.2612089260217365</v>
          </cell>
          <cell r="E71">
            <v>4.617651219715615</v>
          </cell>
          <cell r="F71">
            <v>5.4183230292963547</v>
          </cell>
          <cell r="G71">
            <v>14.337975483628075</v>
          </cell>
          <cell r="H71">
            <v>24.870736929526696</v>
          </cell>
          <cell r="I71">
            <v>26.643300524427801</v>
          </cell>
          <cell r="J71"/>
          <cell r="K71"/>
        </row>
        <row r="72">
          <cell r="A72" t="str">
            <v>SCOM-SHDEM</v>
          </cell>
          <cell r="B72" t="str">
            <v>VAR_fin</v>
          </cell>
          <cell r="C72" t="str">
            <v>SCOM-SHPLT</v>
          </cell>
          <cell r="D72">
            <v>1.8770746508097225</v>
          </cell>
          <cell r="E72">
            <v>2.1600853174743446</v>
          </cell>
          <cell r="F72">
            <v>0.66060284054977481</v>
          </cell>
          <cell r="G72">
            <v>0.82372186696448746</v>
          </cell>
          <cell r="H72">
            <v>0.98996931582995118</v>
          </cell>
          <cell r="I72">
            <v>0.83171134768675448</v>
          </cell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SCOM-SHLTHC-NGA</v>
          </cell>
          <cell r="D73">
            <v>0.68565311527913886</v>
          </cell>
          <cell r="E73">
            <v>0.74269385194385285</v>
          </cell>
          <cell r="F73"/>
          <cell r="G73"/>
          <cell r="H73"/>
          <cell r="I73"/>
          <cell r="J73"/>
        </row>
        <row r="74">
          <cell r="A74" t="str">
            <v>SCOM-SHDEM</v>
          </cell>
          <cell r="B74" t="str">
            <v>VAR_fin</v>
          </cell>
          <cell r="C74" t="str">
            <v>SCOM-SHSOL</v>
          </cell>
          <cell r="D74">
            <v>0.627000495654364</v>
          </cell>
          <cell r="E74">
            <v>0.68733594919796615</v>
          </cell>
          <cell r="F74">
            <v>0.56683652521807126</v>
          </cell>
          <cell r="G74">
            <v>0.77161714638056045</v>
          </cell>
          <cell r="H74">
            <v>1.1384095569032204</v>
          </cell>
          <cell r="I74">
            <v>1.3103190836476182</v>
          </cell>
          <cell r="J74"/>
        </row>
        <row r="75">
          <cell r="A75" t="str">
            <v>SCOM-SHDEM</v>
          </cell>
          <cell r="B75" t="str">
            <v>VAR_fin</v>
          </cell>
          <cell r="C75" t="str">
            <v>SCOM-SHNGA</v>
          </cell>
          <cell r="D75">
            <v>24.189718242158317</v>
          </cell>
          <cell r="E75">
            <v>25.326924599046958</v>
          </cell>
          <cell r="F75">
            <v>19.216132732339041</v>
          </cell>
          <cell r="G75">
            <v>12.93728588944184</v>
          </cell>
          <cell r="H75">
            <v>3.317849429568017</v>
          </cell>
          <cell r="I75">
            <v>1.0289366557732789</v>
          </cell>
          <cell r="J75"/>
        </row>
        <row r="76">
          <cell r="A76" t="str">
            <v>SCOM-SHDEM</v>
          </cell>
          <cell r="B76" t="str">
            <v>VAR_fin</v>
          </cell>
          <cell r="C76" t="str">
            <v>SCOM-SHNGAH</v>
          </cell>
          <cell r="D76"/>
          <cell r="E76"/>
          <cell r="F76">
            <v>1.8168280047287308</v>
          </cell>
          <cell r="G76">
            <v>3.0960755933024955</v>
          </cell>
          <cell r="H76">
            <v>5.1038245375614641</v>
          </cell>
          <cell r="I76">
            <v>5.1646410792882378</v>
          </cell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SCOM-SHLTHC-BIO</v>
          </cell>
          <cell r="D77">
            <v>1.4100687747422582</v>
          </cell>
          <cell r="E77">
            <v>1.5273727521087632</v>
          </cell>
          <cell r="F77"/>
          <cell r="G77"/>
          <cell r="H77"/>
          <cell r="I77"/>
          <cell r="J77"/>
          <cell r="K77"/>
        </row>
        <row r="78">
          <cell r="A78" t="str">
            <v>SCOM-SHDEM</v>
          </cell>
          <cell r="B78" t="str">
            <v>VAR_fin</v>
          </cell>
          <cell r="C78" t="str">
            <v>SCOM-SHLFO</v>
          </cell>
          <cell r="D78">
            <v>24.843071500442964</v>
          </cell>
          <cell r="E78">
            <v>22.035253293146862</v>
          </cell>
          <cell r="F78">
            <v>19.290286728950004</v>
          </cell>
          <cell r="G78">
            <v>10.419896555350174</v>
          </cell>
          <cell r="H78">
            <v>2.756503180556098</v>
          </cell>
          <cell r="I78">
            <v>7.0918105217748509E-2</v>
          </cell>
          <cell r="J78"/>
          <cell r="K78"/>
        </row>
        <row r="79">
          <cell r="A79" t="str">
            <v>ITOT-SWHSTG-NGAHP</v>
          </cell>
          <cell r="B79" t="str">
            <v>VAR_fout</v>
          </cell>
          <cell r="C79" t="str">
            <v>ITOT-SWHANGAH</v>
          </cell>
          <cell r="D79">
            <v>4.3371259228322133E-4</v>
          </cell>
          <cell r="E79">
            <v>8.7952890104288372E-4</v>
          </cell>
          <cell r="F79">
            <v>9.218952391575392E-4</v>
          </cell>
          <cell r="G79">
            <v>2.8295970108575754E-4</v>
          </cell>
          <cell r="H79">
            <v>8.0865902791322033E-4</v>
          </cell>
          <cell r="I79">
            <v>6.3010603716137496E-4</v>
          </cell>
          <cell r="J79"/>
          <cell r="K79"/>
        </row>
        <row r="80">
          <cell r="A80" t="str">
            <v>ITOT-SWHSTG-NGAHP</v>
          </cell>
          <cell r="B80" t="str">
            <v>VAR_fin</v>
          </cell>
          <cell r="C80" t="str">
            <v>ITOT-SWHANGAH</v>
          </cell>
          <cell r="D80">
            <v>4.3371259228322133E-4</v>
          </cell>
          <cell r="E80">
            <v>8.7952890104288372E-4</v>
          </cell>
          <cell r="F80">
            <v>1.1854701703588569E-3</v>
          </cell>
          <cell r="G80">
            <v>3.198673806605879E-4</v>
          </cell>
          <cell r="H80">
            <v>9.3787932233528712E-4</v>
          </cell>
          <cell r="I80">
            <v>6.8813516840703646E-4</v>
          </cell>
          <cell r="J80"/>
          <cell r="K80"/>
        </row>
        <row r="81">
          <cell r="A81" t="str">
            <v>ITOT-SWHSTG-NGAHP</v>
          </cell>
          <cell r="B81" t="str">
            <v>VAR_ncap</v>
          </cell>
          <cell r="C81" t="str">
            <v>-</v>
          </cell>
          <cell r="D81">
            <v>1.2227388239174899E-3</v>
          </cell>
          <cell r="E81">
            <v>3.2064324018366098E-6</v>
          </cell>
          <cell r="F81">
            <v>3.2898584323528503E-5</v>
          </cell>
          <cell r="G81">
            <v>6.3097396019523004E-6</v>
          </cell>
          <cell r="H81">
            <v>9.0509232138458802E-5</v>
          </cell>
          <cell r="I81">
            <v>6.8729703374250105E-5</v>
          </cell>
          <cell r="J81"/>
          <cell r="K81"/>
        </row>
        <row r="82">
          <cell r="A82" t="str">
            <v>ITOT-SWHSTG-NGAHP</v>
          </cell>
          <cell r="B82" t="str">
            <v>VAR_cap</v>
          </cell>
          <cell r="C82" t="str">
            <v>-</v>
          </cell>
          <cell r="D82">
            <v>1.2227388239174899E-3</v>
          </cell>
          <cell r="E82">
            <v>6.1763796503399096E-6</v>
          </cell>
          <cell r="F82">
            <v>1.2411585503367987E-4</v>
          </cell>
          <cell r="G82">
            <v>1.4052284038734014E-4</v>
          </cell>
          <cell r="H82">
            <v>1.5057199957047029E-4</v>
          </cell>
          <cell r="I82">
            <v>1.3952207934328351E-4</v>
          </cell>
          <cell r="J82"/>
        </row>
        <row r="83">
          <cell r="A83" t="str">
            <v>ITOT-STG-ELCSPEC</v>
          </cell>
          <cell r="B83" t="str">
            <v>VAR_fout</v>
          </cell>
          <cell r="C83" t="str">
            <v>ITOT-ELS</v>
          </cell>
          <cell r="D83"/>
          <cell r="E83">
            <v>1.3524775794134069E-2</v>
          </cell>
          <cell r="F83">
            <v>1.3700572780997504E-2</v>
          </cell>
          <cell r="G83">
            <v>1.3994774653557904E-2</v>
          </cell>
          <cell r="H83">
            <v>0.24582050060926999</v>
          </cell>
          <cell r="I83">
            <v>0.57779267290646685</v>
          </cell>
          <cell r="J83"/>
          <cell r="K83"/>
        </row>
        <row r="84">
          <cell r="A84" t="str">
            <v>ITOT-STG-ELCSPEC</v>
          </cell>
          <cell r="B84" t="str">
            <v>VAR_fin</v>
          </cell>
          <cell r="C84" t="str">
            <v>ITOT-ELS</v>
          </cell>
          <cell r="D84"/>
          <cell r="E84">
            <v>1.3526965450169832E-2</v>
          </cell>
          <cell r="F84">
            <v>1.3702620187873268E-2</v>
          </cell>
          <cell r="G84">
            <v>1.3996352883462768E-2</v>
          </cell>
          <cell r="H84">
            <v>0.24582333221137398</v>
          </cell>
          <cell r="I84">
            <v>0.57779403849840139</v>
          </cell>
          <cell r="J84"/>
          <cell r="K84"/>
        </row>
        <row r="85">
          <cell r="A85" t="str">
            <v>ITOT-STG-ELCSPEC</v>
          </cell>
          <cell r="B85" t="str">
            <v>VAR_ncap</v>
          </cell>
          <cell r="C85" t="str">
            <v>-</v>
          </cell>
          <cell r="D85"/>
          <cell r="E85">
            <v>5.1096236923204002E-4</v>
          </cell>
          <cell r="F85">
            <v>5.4927125351779296E-6</v>
          </cell>
          <cell r="G85">
            <v>2.96038713324274E-6</v>
          </cell>
          <cell r="H85">
            <v>8.1497332444080296E-3</v>
          </cell>
          <cell r="I85">
            <v>1.49719986813513E-2</v>
          </cell>
          <cell r="J85"/>
          <cell r="K85"/>
        </row>
        <row r="86">
          <cell r="A86" t="str">
            <v>ITOT-STG-ELCSPEC</v>
          </cell>
          <cell r="B86" t="str">
            <v>VAR_cap</v>
          </cell>
          <cell r="C86" t="str">
            <v>-</v>
          </cell>
          <cell r="D86"/>
          <cell r="E86">
            <v>5.1096236923204002E-4</v>
          </cell>
          <cell r="F86">
            <v>5.1623385195719517E-4</v>
          </cell>
          <cell r="G86">
            <v>5.1867787770065287E-4</v>
          </cell>
          <cell r="H86">
            <v>8.8166941760494093E-3</v>
          </cell>
          <cell r="I86">
            <v>2.3437340501552054E-2</v>
          </cell>
          <cell r="J86"/>
          <cell r="K86"/>
        </row>
        <row r="87">
          <cell r="A87" t="str">
            <v>D-RHES_LTH_CHPNGA</v>
          </cell>
          <cell r="B87" t="str">
            <v>VAR_fout</v>
          </cell>
          <cell r="C87" t="str">
            <v>RHSA_LTH</v>
          </cell>
          <cell r="D87">
            <v>2.3087230606296891E-4</v>
          </cell>
          <cell r="E87">
            <v>1.0885063427798263E-5</v>
          </cell>
          <cell r="F87">
            <v>2.5429448921506447E-3</v>
          </cell>
          <cell r="G87">
            <v>1.4063405005061333E-2</v>
          </cell>
          <cell r="H87">
            <v>1.6904967235487219E-3</v>
          </cell>
          <cell r="I87">
            <v>1.6953582930116038E-5</v>
          </cell>
          <cell r="J87"/>
          <cell r="K87"/>
          <cell r="L87"/>
        </row>
        <row r="88">
          <cell r="A88" t="str">
            <v>D-RHES_LTH_CHPNGA</v>
          </cell>
          <cell r="B88" t="str">
            <v>VAR_fout</v>
          </cell>
          <cell r="C88" t="str">
            <v>LTH</v>
          </cell>
          <cell r="D88"/>
          <cell r="E88"/>
          <cell r="F88"/>
          <cell r="G88">
            <v>7.9417142870690395E-6</v>
          </cell>
          <cell r="H88">
            <v>3.9457074776788021E-6</v>
          </cell>
          <cell r="I88">
            <v>1.3163590496631597E-5</v>
          </cell>
          <cell r="J88"/>
          <cell r="K88"/>
        </row>
        <row r="89">
          <cell r="A89" t="str">
            <v>D-RHES_LTH_CHPNGA</v>
          </cell>
          <cell r="B89" t="str">
            <v>VAR_fout</v>
          </cell>
          <cell r="C89" t="str">
            <v>RHES_LTH_CHPNGA_ON</v>
          </cell>
          <cell r="D89">
            <v>3.1452890057905511E-2</v>
          </cell>
          <cell r="E89">
            <v>4.3658957210929829E-3</v>
          </cell>
          <cell r="F89">
            <v>2.5875460824638513E-3</v>
          </cell>
          <cell r="G89"/>
          <cell r="H89">
            <v>1.3905592553017561E-3</v>
          </cell>
          <cell r="I89">
            <v>8.8825799119169529E-6</v>
          </cell>
          <cell r="J89"/>
          <cell r="K89"/>
        </row>
        <row r="90">
          <cell r="A90" t="str">
            <v>D-RHES_LTH_CHPNGA</v>
          </cell>
          <cell r="B90" t="str">
            <v>VAR_fin</v>
          </cell>
          <cell r="C90" t="str">
            <v>RHES_LTH_CHPNGA</v>
          </cell>
          <cell r="D90">
            <v>3.1683762363968478E-2</v>
          </cell>
          <cell r="E90">
            <v>4.3774093318783049E-3</v>
          </cell>
          <cell r="F90">
            <v>5.1321801738050711E-3</v>
          </cell>
          <cell r="G90">
            <v>1.4071891378750385E-2</v>
          </cell>
          <cell r="H90">
            <v>3.0855737755542366E-3</v>
          </cell>
          <cell r="I90">
            <v>3.8999753338664572E-5</v>
          </cell>
          <cell r="J90"/>
          <cell r="K90"/>
        </row>
        <row r="91">
          <cell r="A91" t="str">
            <v>D-ICOA</v>
          </cell>
          <cell r="B91" t="str">
            <v>VAR_fout</v>
          </cell>
          <cell r="C91" t="str">
            <v>ICOA</v>
          </cell>
          <cell r="D91">
            <v>3.5600271836583843</v>
          </cell>
          <cell r="E91">
            <v>3.4647231150722129</v>
          </cell>
          <cell r="F91">
            <v>1.106191130762066</v>
          </cell>
          <cell r="G91">
            <v>1.6777054979156893E-4</v>
          </cell>
          <cell r="H91">
            <v>6.4807298563390541E-4</v>
          </cell>
          <cell r="I91">
            <v>2.0141315688538322E-4</v>
          </cell>
          <cell r="J91"/>
          <cell r="K91"/>
        </row>
        <row r="92">
          <cell r="A92" t="str">
            <v>D-ICOA</v>
          </cell>
          <cell r="B92" t="str">
            <v>VAR_fout</v>
          </cell>
          <cell r="C92" t="str">
            <v>CO2</v>
          </cell>
          <cell r="D92">
            <v>330.01451992513199</v>
          </cell>
          <cell r="E92">
            <v>321.179832767194</v>
          </cell>
          <cell r="F92">
            <v>102.543917821644</v>
          </cell>
          <cell r="G92">
            <v>1.55523299656784E-2</v>
          </cell>
          <cell r="H92">
            <v>6.0076365768263099E-2</v>
          </cell>
          <cell r="I92">
            <v>1.8670999643275E-2</v>
          </cell>
          <cell r="J92"/>
          <cell r="K92"/>
        </row>
        <row r="93">
          <cell r="A93" t="str">
            <v>D-ICOA</v>
          </cell>
          <cell r="B93" t="str">
            <v>VAR_fin</v>
          </cell>
          <cell r="C93" t="str">
            <v>COA</v>
          </cell>
          <cell r="D93">
            <v>3.5600271836583843</v>
          </cell>
          <cell r="E93">
            <v>3.4647231150722129</v>
          </cell>
          <cell r="F93">
            <v>1.106191130762066</v>
          </cell>
          <cell r="G93">
            <v>1.6777054979156893E-4</v>
          </cell>
          <cell r="H93">
            <v>6.4807298563390541E-4</v>
          </cell>
          <cell r="I93">
            <v>2.0141315688538322E-4</v>
          </cell>
          <cell r="J93"/>
        </row>
        <row r="94">
          <cell r="A94" t="str">
            <v>RHEM-SHCONBR1</v>
          </cell>
          <cell r="B94" t="str">
            <v>VAR_fout</v>
          </cell>
          <cell r="C94" t="str">
            <v>RHEM-SHCON</v>
          </cell>
          <cell r="D94">
            <v>3.718304234069643E-3</v>
          </cell>
          <cell r="E94">
            <v>0.78042534508790784</v>
          </cell>
          <cell r="F94">
            <v>0.5455626450046126</v>
          </cell>
          <cell r="G94">
            <v>1.6626632290164867</v>
          </cell>
          <cell r="H94">
            <v>3.8994167919908911</v>
          </cell>
          <cell r="I94">
            <v>4.2470502113246296</v>
          </cell>
          <cell r="J94"/>
        </row>
        <row r="95">
          <cell r="A95" t="str">
            <v>RHEM-SHCONBR1</v>
          </cell>
          <cell r="B95" t="str">
            <v>VAR_fin</v>
          </cell>
          <cell r="C95" t="str">
            <v>CON</v>
          </cell>
          <cell r="D95">
            <v>3.718304234069643E-3</v>
          </cell>
          <cell r="E95">
            <v>0.78042534508790784</v>
          </cell>
          <cell r="F95">
            <v>0.5455626450046126</v>
          </cell>
          <cell r="G95">
            <v>1.6626632290164867</v>
          </cell>
          <cell r="H95">
            <v>3.8994167919908911</v>
          </cell>
          <cell r="I95">
            <v>4.2470502113246296</v>
          </cell>
          <cell r="J95"/>
          <cell r="K95"/>
        </row>
        <row r="96">
          <cell r="A96" t="str">
            <v>RHEM-SHCONBR1</v>
          </cell>
          <cell r="B96" t="str">
            <v>VAR_ncap</v>
          </cell>
          <cell r="C96" t="str">
            <v>-</v>
          </cell>
          <cell r="D96">
            <v>2.7551941047375801E-2</v>
          </cell>
          <cell r="E96">
            <v>2.7551940787623502E-2</v>
          </cell>
          <cell r="F96">
            <v>8.3988564578098496E-8</v>
          </cell>
          <cell r="G96">
            <v>6.2304272363582901E-2</v>
          </cell>
          <cell r="H96">
            <v>7.6437542713280196E-2</v>
          </cell>
          <cell r="I96">
            <v>4.9906529027460102E-2</v>
          </cell>
          <cell r="J96"/>
          <cell r="K96"/>
        </row>
        <row r="97">
          <cell r="A97" t="str">
            <v>RHEM-SHCONBR1</v>
          </cell>
          <cell r="B97" t="str">
            <v>VAR_cap</v>
          </cell>
          <cell r="C97" t="str">
            <v>-</v>
          </cell>
          <cell r="D97">
            <v>2.7551941047375801E-2</v>
          </cell>
          <cell r="E97">
            <v>5.5103881834999299E-2</v>
          </cell>
          <cell r="F97">
            <v>5.5103041359167361E-2</v>
          </cell>
          <cell r="G97">
            <v>0.11740814751454713</v>
          </cell>
          <cell r="H97">
            <v>0.27535054836165745</v>
          </cell>
          <cell r="I97">
            <v>0.29989848986214979</v>
          </cell>
          <cell r="J97"/>
          <cell r="K97"/>
        </row>
        <row r="98">
          <cell r="A98" t="str">
            <v>RHEM-SHELCBR</v>
          </cell>
          <cell r="B98" t="str">
            <v>VAR_fout</v>
          </cell>
          <cell r="C98" t="str">
            <v>RHEM-SHAELCB</v>
          </cell>
          <cell r="D98">
            <v>4.6280460737398563</v>
          </cell>
          <cell r="E98">
            <v>3.1523172541805833</v>
          </cell>
          <cell r="F98">
            <v>3.6026373776407994E-2</v>
          </cell>
          <cell r="G98">
            <v>1.0306360873858656E-2</v>
          </cell>
          <cell r="H98">
            <v>2.1692534150563429E-3</v>
          </cell>
          <cell r="I98">
            <v>1.4965034351900432E-3</v>
          </cell>
          <cell r="J98"/>
        </row>
        <row r="99">
          <cell r="A99" t="str">
            <v>RHEM-SHELCBR</v>
          </cell>
          <cell r="B99" t="str">
            <v>VAR_fin</v>
          </cell>
          <cell r="C99" t="str">
            <v>RHEM_ELC</v>
          </cell>
          <cell r="D99">
            <v>4.871627446041952</v>
          </cell>
          <cell r="E99">
            <v>3.3182286886111405</v>
          </cell>
          <cell r="F99">
            <v>3.9192670004549734E-2</v>
          </cell>
          <cell r="G99">
            <v>1.1168860505935933E-2</v>
          </cell>
          <cell r="H99">
            <v>2.316028320488721E-3</v>
          </cell>
          <cell r="I99">
            <v>1.5800052427185083E-3</v>
          </cell>
          <cell r="J99"/>
        </row>
        <row r="100">
          <cell r="A100" t="str">
            <v>RHEM-SHELCBR</v>
          </cell>
          <cell r="B100" t="str">
            <v>VAR_ncap</v>
          </cell>
          <cell r="C100" t="str">
            <v>-</v>
          </cell>
          <cell r="D100">
            <v>3.1186246157884699E-7</v>
          </cell>
          <cell r="E100">
            <v>1.25673220613622E-7</v>
          </cell>
          <cell r="F100">
            <v>1.2086634666933801E-7</v>
          </cell>
          <cell r="G100">
            <v>2.64089936682675E-7</v>
          </cell>
          <cell r="H100">
            <v>2.5451478330683097E-4</v>
          </cell>
          <cell r="I100">
            <v>1.7061840244894099E-7</v>
          </cell>
          <cell r="J100"/>
          <cell r="K100"/>
        </row>
        <row r="101">
          <cell r="A101" t="str">
            <v>RHEM-SHELCBR</v>
          </cell>
          <cell r="B101" t="str">
            <v>VAR_cap</v>
          </cell>
          <cell r="C101" t="str">
            <v>-</v>
          </cell>
          <cell r="D101">
            <v>0.32680145581080056</v>
          </cell>
          <cell r="E101">
            <v>0.32679388173470236</v>
          </cell>
          <cell r="F101">
            <v>4.4362690693148243E-3</v>
          </cell>
          <cell r="G101">
            <v>1.3088917357975127E-3</v>
          </cell>
          <cell r="H101">
            <v>2.6316448555934428E-4</v>
          </cell>
          <cell r="I101">
            <v>1.8376767414446214E-4</v>
          </cell>
          <cell r="J101"/>
          <cell r="K101"/>
        </row>
        <row r="102">
          <cell r="A102" t="str">
            <v>RHNM-SHLTHCHPNGA</v>
          </cell>
          <cell r="B102" t="str">
            <v>VAR_fout</v>
          </cell>
          <cell r="C102" t="str">
            <v>RHNM-SHLTHC-NGA</v>
          </cell>
          <cell r="D102"/>
          <cell r="E102">
            <v>2.5601700669083912E-3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RHNMLTHCHPC</v>
          </cell>
          <cell r="D103"/>
          <cell r="E103">
            <v>2.5601700669083912E-3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VAR_fin</v>
          </cell>
          <cell r="C104" t="str">
            <v>RHNM_LTH_CHPNGA_ON</v>
          </cell>
          <cell r="D104"/>
          <cell r="E104">
            <v>2.5860303706145391E-3</v>
          </cell>
          <cell r="F104"/>
          <cell r="G104"/>
          <cell r="H104"/>
          <cell r="I104"/>
          <cell r="J104"/>
        </row>
        <row r="105">
          <cell r="A105" t="str">
            <v>RHNM-SHLTHCHPNGA</v>
          </cell>
          <cell r="B105" t="str">
            <v>VAR_ncap</v>
          </cell>
          <cell r="C105" t="str">
            <v>-</v>
          </cell>
          <cell r="D105"/>
          <cell r="E105">
            <v>2.56274149723081E-2</v>
          </cell>
          <cell r="F105">
            <v>7.8247259858319207E-3</v>
          </cell>
          <cell r="G105">
            <v>7.1564934432437402E-3</v>
          </cell>
          <cell r="H105">
            <v>2.70239426746026E-3</v>
          </cell>
          <cell r="I105">
            <v>2.7249452071362598E-8</v>
          </cell>
          <cell r="J105"/>
          <cell r="K105"/>
        </row>
        <row r="106">
          <cell r="A106" t="str">
            <v>RHNM-SHLTHCHPNGA</v>
          </cell>
          <cell r="B106" t="str">
            <v>VAR_cap</v>
          </cell>
          <cell r="C106" t="str">
            <v>-</v>
          </cell>
          <cell r="D106"/>
          <cell r="E106">
            <v>2.56274149723081E-2</v>
          </cell>
          <cell r="F106">
            <v>1.9462381950689504E-2</v>
          </cell>
          <cell r="G106">
            <v>1.8729402527730199E-2</v>
          </cell>
          <cell r="H106">
            <v>7.5133605352023097E-3</v>
          </cell>
          <cell r="I106"/>
          <cell r="J106"/>
          <cell r="K106"/>
        </row>
        <row r="107">
          <cell r="A107" t="str">
            <v>RHEM-SHCONBR2</v>
          </cell>
          <cell r="B107" t="str">
            <v>VAR_fout</v>
          </cell>
          <cell r="C107" t="str">
            <v>RHEM-SHCON</v>
          </cell>
          <cell r="D107">
            <v>3.9554427063327423E-3</v>
          </cell>
          <cell r="E107">
            <v>1.2154846001064561</v>
          </cell>
          <cell r="F107">
            <v>0.87452785266019006</v>
          </cell>
          <cell r="G107">
            <v>1.9811679919954004</v>
          </cell>
          <cell r="H107">
            <v>4.0246664917680688</v>
          </cell>
          <cell r="I107">
            <v>6.6148536263314419</v>
          </cell>
          <cell r="J107"/>
          <cell r="K107"/>
        </row>
        <row r="108">
          <cell r="A108" t="str">
            <v>RHEM-SHCONBR2</v>
          </cell>
          <cell r="B108" t="str">
            <v>VAR_fin</v>
          </cell>
          <cell r="C108" t="str">
            <v>CON</v>
          </cell>
          <cell r="D108">
            <v>3.9554427063327423E-3</v>
          </cell>
          <cell r="E108">
            <v>1.2154846001064561</v>
          </cell>
          <cell r="F108">
            <v>0.87452785266019006</v>
          </cell>
          <cell r="G108">
            <v>1.9811679919954004</v>
          </cell>
          <cell r="H108">
            <v>4.0246664917680688</v>
          </cell>
          <cell r="I108">
            <v>6.6148536263314419</v>
          </cell>
          <cell r="J108"/>
          <cell r="K108"/>
        </row>
        <row r="109">
          <cell r="A109" t="str">
            <v>RHEM-SHCONBR2</v>
          </cell>
          <cell r="B109" t="str">
            <v>VAR_ncap</v>
          </cell>
          <cell r="C109" t="str">
            <v>-</v>
          </cell>
          <cell r="D109">
            <v>4.2912481018688199E-2</v>
          </cell>
          <cell r="E109">
            <v>4.29124795596744E-2</v>
          </cell>
          <cell r="F109">
            <v>6.8734565090613596E-8</v>
          </cell>
          <cell r="G109">
            <v>5.4074101877809699E-2</v>
          </cell>
          <cell r="H109">
            <v>3.6589574770182598E-2</v>
          </cell>
          <cell r="I109">
            <v>0.22239852912622601</v>
          </cell>
          <cell r="J109"/>
        </row>
        <row r="110">
          <cell r="A110" t="str">
            <v>RHEM-SHCONBR2</v>
          </cell>
          <cell r="B110" t="str">
            <v>VAR_cap</v>
          </cell>
          <cell r="C110" t="str">
            <v>-</v>
          </cell>
          <cell r="D110">
            <v>4.2912481018688199E-2</v>
          </cell>
          <cell r="E110">
            <v>8.58249605783626E-2</v>
          </cell>
          <cell r="F110">
            <v>8.5824087612356784E-2</v>
          </cell>
          <cell r="G110">
            <v>0.13989903893523697</v>
          </cell>
          <cell r="H110">
            <v>0.28419493473123342</v>
          </cell>
          <cell r="I110">
            <v>0.46709713890899612</v>
          </cell>
          <cell r="J110"/>
        </row>
        <row r="111">
          <cell r="A111" t="str">
            <v>D-RHSA_LTH</v>
          </cell>
          <cell r="B111" t="str">
            <v>VAR_fout</v>
          </cell>
          <cell r="C111" t="str">
            <v>RHSA_LTH</v>
          </cell>
          <cell r="D111">
            <v>3.6207333282369889E-3</v>
          </cell>
          <cell r="E111">
            <v>4.2369685457826683E-2</v>
          </cell>
          <cell r="F111">
            <v>8.2723907995018442E-2</v>
          </cell>
          <cell r="G111">
            <v>3.1845405855425467E-2</v>
          </cell>
          <cell r="H111">
            <v>0.5170373397618937</v>
          </cell>
          <cell r="I111">
            <v>6.4992693331922897E-4</v>
          </cell>
          <cell r="J111"/>
          <cell r="K111"/>
        </row>
        <row r="112">
          <cell r="A112" t="str">
            <v>D-RHSA_LTH</v>
          </cell>
          <cell r="B112" t="str">
            <v>VAR_fin</v>
          </cell>
          <cell r="C112" t="str">
            <v>RHEM_LTH_CHPWOD_ON</v>
          </cell>
          <cell r="D112">
            <v>4.2410490410833025E-5</v>
          </cell>
          <cell r="E112">
            <v>4.8915811103555721E-5</v>
          </cell>
          <cell r="F112">
            <v>1.0142217467660654E-5</v>
          </cell>
          <cell r="G112">
            <v>1.2936837019846158E-4</v>
          </cell>
          <cell r="H112">
            <v>0.28546803492596079</v>
          </cell>
          <cell r="I112"/>
          <cell r="J112"/>
        </row>
        <row r="113">
          <cell r="A113" t="str">
            <v>D-RHSA_LTH</v>
          </cell>
          <cell r="B113" t="str">
            <v>VAR_fin</v>
          </cell>
          <cell r="C113" t="str">
            <v>RHNM_LTH_CHPWOD_ON</v>
          </cell>
          <cell r="D113">
            <v>5.5105844398789424E-5</v>
          </cell>
          <cell r="E113">
            <v>3.4227216379831603E-5</v>
          </cell>
          <cell r="F113">
            <v>5.067466520556243E-6</v>
          </cell>
          <cell r="G113"/>
          <cell r="H113">
            <v>9.2941475414514571E-2</v>
          </cell>
          <cell r="I113"/>
          <cell r="J113"/>
        </row>
        <row r="114">
          <cell r="A114" t="str">
            <v>D-RHSA_LTH</v>
          </cell>
          <cell r="B114" t="str">
            <v>VAR_fin</v>
          </cell>
          <cell r="C114" t="str">
            <v>RHES_LTH_CHPWOD_ON</v>
          </cell>
          <cell r="D114">
            <v>4.4149590782056983E-5</v>
          </cell>
          <cell r="E114">
            <v>4.1880166264874446E-5</v>
          </cell>
          <cell r="F114">
            <v>6.0236488880845531E-6</v>
          </cell>
          <cell r="G114"/>
          <cell r="H114">
            <v>5.8379832741625021E-4</v>
          </cell>
          <cell r="I114"/>
          <cell r="J114"/>
        </row>
        <row r="115">
          <cell r="A115" t="str">
            <v>D-RHSA_LTH</v>
          </cell>
          <cell r="B115" t="str">
            <v>VAR_fin</v>
          </cell>
          <cell r="C115" t="str">
            <v>RHNS_LTH_CHPWOD_ON</v>
          </cell>
          <cell r="D115">
            <v>4.1091569532482715E-5</v>
          </cell>
          <cell r="E115">
            <v>1.9951633013673864E-5</v>
          </cell>
          <cell r="F115">
            <v>7.8071952503569557E-6</v>
          </cell>
          <cell r="G115"/>
          <cell r="H115">
            <v>2.3384433926904305E-3</v>
          </cell>
          <cell r="I115">
            <v>6.1863611991556965E-4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RHEM_LTH_CHPNGA_ON</v>
          </cell>
          <cell r="D116">
            <v>2.519361833363762E-3</v>
          </cell>
          <cell r="E116"/>
          <cell r="F116">
            <v>2.3099954447389836E-2</v>
          </cell>
          <cell r="G116">
            <v>3.1716037485227E-2</v>
          </cell>
          <cell r="H116">
            <v>7.7477951620107094E-2</v>
          </cell>
          <cell r="I116">
            <v>9.9942844772377711E-6</v>
          </cell>
          <cell r="J116"/>
          <cell r="K116"/>
        </row>
        <row r="117">
          <cell r="A117" t="str">
            <v>D-RHSA_LTH</v>
          </cell>
          <cell r="B117" t="str">
            <v>VAR_fin</v>
          </cell>
          <cell r="C117" t="str">
            <v>RHNM_LTH_CHPNGA_ON</v>
          </cell>
          <cell r="D117">
            <v>5.681829829709196E-5</v>
          </cell>
          <cell r="E117">
            <v>4.2145782976861758E-2</v>
          </cell>
          <cell r="F117">
            <v>5.4607205011414334E-2</v>
          </cell>
          <cell r="G117"/>
          <cell r="H117">
            <v>5.666998883586101E-2</v>
          </cell>
          <cell r="I117">
            <v>7.9123023787814747E-6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RHES_LTH_CHPNGA_ON</v>
          </cell>
          <cell r="D118">
            <v>8.0766718081690038E-4</v>
          </cell>
          <cell r="E118">
            <v>2.5424384946656253E-5</v>
          </cell>
          <cell r="F118">
            <v>2.5875460824638513E-3</v>
          </cell>
          <cell r="G118"/>
          <cell r="H118">
            <v>1.3905592553017561E-3</v>
          </cell>
          <cell r="I118">
            <v>8.8825799119169529E-6</v>
          </cell>
          <cell r="J118"/>
          <cell r="K118"/>
        </row>
        <row r="119">
          <cell r="A119" t="str">
            <v>D-RHSA_LTH</v>
          </cell>
          <cell r="B119" t="str">
            <v>VAR_fin</v>
          </cell>
          <cell r="C119" t="str">
            <v>RHNS_LTH_CHPNGA_ON</v>
          </cell>
          <cell r="D119">
            <v>5.4128520635074651E-5</v>
          </cell>
          <cell r="E119">
            <v>5.3503269256319016E-5</v>
          </cell>
          <cell r="F119">
            <v>2.4001619256237851E-3</v>
          </cell>
          <cell r="G119"/>
          <cell r="H119">
            <v>1.6708799004171097E-4</v>
          </cell>
          <cell r="I119">
            <v>4.5016466357230401E-6</v>
          </cell>
          <cell r="J119"/>
          <cell r="K119"/>
        </row>
        <row r="120">
          <cell r="A120" t="str">
            <v>RHEM-SHLTHCHPWOD</v>
          </cell>
          <cell r="B120" t="str">
            <v>VAR_ncap</v>
          </cell>
          <cell r="C120" t="str">
            <v>-</v>
          </cell>
          <cell r="D120"/>
          <cell r="E120"/>
          <cell r="F120"/>
          <cell r="G120">
            <v>1.42077716692039E-4</v>
          </cell>
          <cell r="H120">
            <v>7.8284271102611307E-3</v>
          </cell>
          <cell r="I120">
            <v>4.7540091430240596E-3</v>
          </cell>
          <cell r="J120"/>
          <cell r="K120"/>
        </row>
        <row r="121">
          <cell r="A121" t="str">
            <v>RHEM-SHLTHCHPWOD</v>
          </cell>
          <cell r="B121" t="str">
            <v>VAR_cap</v>
          </cell>
          <cell r="C121" t="str">
            <v>-</v>
          </cell>
          <cell r="D121"/>
          <cell r="E121"/>
          <cell r="F121"/>
          <cell r="G121">
            <v>1.42077716692039E-4</v>
          </cell>
          <cell r="H121">
            <v>1.2048919210336659E-2</v>
          </cell>
          <cell r="I121">
            <v>8.4849981771974101E-3</v>
          </cell>
          <cell r="J121"/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RHEM_LTH_CHPWOD_ON</v>
          </cell>
          <cell r="D122">
            <v>4.2410490410833025E-5</v>
          </cell>
          <cell r="E122">
            <v>4.8915811103555721E-5</v>
          </cell>
          <cell r="F122">
            <v>1.0142217467660654E-5</v>
          </cell>
          <cell r="G122">
            <v>1.2936837019846158E-4</v>
          </cell>
          <cell r="H122">
            <v>0.28546803492596079</v>
          </cell>
          <cell r="I122"/>
          <cell r="J122"/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RHSA_LTH</v>
          </cell>
          <cell r="D123">
            <v>3.695860445962931E-5</v>
          </cell>
          <cell r="E123">
            <v>3.7810161315325259E-5</v>
          </cell>
          <cell r="F123">
            <v>1.9465940903931429E-5</v>
          </cell>
          <cell r="G123">
            <v>2.2312342867338215E-3</v>
          </cell>
          <cell r="H123">
            <v>0.18473191285277488</v>
          </cell>
          <cell r="I123">
            <v>0.30780410927461793</v>
          </cell>
          <cell r="J123"/>
          <cell r="K123"/>
        </row>
        <row r="124">
          <cell r="A124" t="str">
            <v>D-RHEM_LTH_CHPWOD</v>
          </cell>
          <cell r="B124" t="str">
            <v>VAR_fout</v>
          </cell>
          <cell r="C124" t="str">
            <v>LTH</v>
          </cell>
          <cell r="D124"/>
          <cell r="E124"/>
          <cell r="F124"/>
          <cell r="G124">
            <v>2.2033450242377811E-7</v>
          </cell>
          <cell r="H124">
            <v>2.7819797491483272E-4</v>
          </cell>
          <cell r="I124">
            <v>1.222935838511992E-4</v>
          </cell>
          <cell r="J124"/>
          <cell r="K124"/>
        </row>
        <row r="125">
          <cell r="A125" t="str">
            <v>D-RHEM_LTH_CHPWOD</v>
          </cell>
          <cell r="B125" t="str">
            <v>VAR_fin</v>
          </cell>
          <cell r="C125" t="str">
            <v>RHEM_LTH_CHPWOD</v>
          </cell>
          <cell r="D125">
            <v>7.9369094870462362E-5</v>
          </cell>
          <cell r="E125">
            <v>8.8239344359982553E-5</v>
          </cell>
          <cell r="F125">
            <v>3.0451510949069655E-5</v>
          </cell>
          <cell r="G125">
            <v>2.3621976229966013E-3</v>
          </cell>
          <cell r="H125">
            <v>0.47047839200560759</v>
          </cell>
          <cell r="I125">
            <v>0.3079264028584689</v>
          </cell>
          <cell r="J125"/>
          <cell r="K125"/>
        </row>
        <row r="126">
          <cell r="A126" t="str">
            <v>RHES-SHLTHDH</v>
          </cell>
          <cell r="B126" t="str">
            <v>VAR_fout</v>
          </cell>
          <cell r="C126" t="str">
            <v>RHES-SHLTHD</v>
          </cell>
          <cell r="D126">
            <v>3.1528958301748169</v>
          </cell>
          <cell r="E126">
            <v>3.5038005615606922</v>
          </cell>
          <cell r="F126">
            <v>1.4257517631608236</v>
          </cell>
          <cell r="G126">
            <v>1.7363235443208431</v>
          </cell>
          <cell r="H126">
            <v>1.9302477027438028</v>
          </cell>
          <cell r="I126">
            <v>1.8035978498681822</v>
          </cell>
          <cell r="J126"/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RHESLTHDHC</v>
          </cell>
          <cell r="D127">
            <v>3.1528958301748169</v>
          </cell>
          <cell r="E127">
            <v>3.5038005615606922</v>
          </cell>
          <cell r="F127">
            <v>1.4257517631608236</v>
          </cell>
          <cell r="G127">
            <v>1.7363235443208431</v>
          </cell>
          <cell r="H127">
            <v>1.9302477027438028</v>
          </cell>
          <cell r="I127">
            <v>1.8035978498681822</v>
          </cell>
          <cell r="J127"/>
        </row>
        <row r="128">
          <cell r="A128" t="str">
            <v>RHES-SHLTHDH</v>
          </cell>
          <cell r="B128" t="str">
            <v>VAR_fin</v>
          </cell>
          <cell r="C128" t="str">
            <v>RHES_LTH_DH</v>
          </cell>
          <cell r="D128">
            <v>3.1847432628028431</v>
          </cell>
          <cell r="E128">
            <v>3.5391924864249447</v>
          </cell>
          <cell r="F128">
            <v>1.5974686249616021</v>
          </cell>
          <cell r="G128">
            <v>1.9430495427027654</v>
          </cell>
          <cell r="H128">
            <v>2.1572785767789902</v>
          </cell>
          <cell r="I128">
            <v>2.0147200434427308</v>
          </cell>
          <cell r="J128"/>
          <cell r="K128"/>
        </row>
        <row r="129">
          <cell r="A129" t="str">
            <v>RHES-SHLTHDH</v>
          </cell>
          <cell r="B129" t="str">
            <v>VAR_ncap</v>
          </cell>
          <cell r="C129" t="str">
            <v>-</v>
          </cell>
          <cell r="D129"/>
          <cell r="E129">
            <v>2.11293766269098E-2</v>
          </cell>
          <cell r="F129">
            <v>1.50632231322651E-2</v>
          </cell>
          <cell r="G129">
            <v>3.0121804521303398E-2</v>
          </cell>
          <cell r="H129">
            <v>1.10239854162034E-2</v>
          </cell>
          <cell r="I129">
            <v>3.4439249855170301E-2</v>
          </cell>
          <cell r="J129"/>
          <cell r="K129"/>
          <cell r="L129"/>
          <cell r="M129"/>
        </row>
        <row r="130">
          <cell r="A130" t="str">
            <v>RHES-SHLTHDH</v>
          </cell>
          <cell r="B130" t="str">
            <v>VAR_cap</v>
          </cell>
          <cell r="C130" t="str">
            <v>-</v>
          </cell>
          <cell r="D130">
            <v>0.31204626794151202</v>
          </cell>
          <cell r="E130">
            <v>0.30923741086768292</v>
          </cell>
          <cell r="F130">
            <v>0.1532586649646169</v>
          </cell>
          <cell r="G130">
            <v>0.17176859495635033</v>
          </cell>
          <cell r="H130">
            <v>0.16132161144130602</v>
          </cell>
          <cell r="I130">
            <v>0.17553811443659001</v>
          </cell>
          <cell r="J130"/>
          <cell r="K130"/>
        </row>
        <row r="131">
          <cell r="A131" t="str">
            <v>RHEM-SHCONBR3</v>
          </cell>
          <cell r="B131" t="str">
            <v>VAR_fout</v>
          </cell>
          <cell r="C131" t="str">
            <v>RHEM-SHCON</v>
          </cell>
          <cell r="D131">
            <v>3.8344851917256578E-3</v>
          </cell>
          <cell r="E131">
            <v>0.97670169946581831</v>
          </cell>
          <cell r="F131">
            <v>0.69323299136449013</v>
          </cell>
          <cell r="G131">
            <v>0.976614115434153</v>
          </cell>
          <cell r="H131">
            <v>1.84499460852164</v>
          </cell>
          <cell r="I131">
            <v>3.9263338568383634</v>
          </cell>
          <cell r="J131"/>
        </row>
        <row r="132">
          <cell r="A132" t="str">
            <v>RHEM-SHCONBR3</v>
          </cell>
          <cell r="B132" t="str">
            <v>VAR_fin</v>
          </cell>
          <cell r="C132" t="str">
            <v>CON</v>
          </cell>
          <cell r="D132">
            <v>3.8344851917256578E-3</v>
          </cell>
          <cell r="E132">
            <v>0.97670169946581831</v>
          </cell>
          <cell r="F132">
            <v>0.69323299136449013</v>
          </cell>
          <cell r="G132">
            <v>0.976614115434153</v>
          </cell>
          <cell r="H132">
            <v>1.84499460852164</v>
          </cell>
          <cell r="I132">
            <v>3.9263338568383634</v>
          </cell>
          <cell r="J132"/>
          <cell r="K132"/>
        </row>
        <row r="133">
          <cell r="A133" t="str">
            <v>RHEM-SHCONBR3</v>
          </cell>
          <cell r="B133" t="str">
            <v>VAR_ncap</v>
          </cell>
          <cell r="C133" t="str">
            <v>-</v>
          </cell>
          <cell r="D133">
            <v>3.4481823031780497E-2</v>
          </cell>
          <cell r="E133">
            <v>3.4481828926771603E-2</v>
          </cell>
          <cell r="F133">
            <v>2.58555910931086E-8</v>
          </cell>
          <cell r="G133">
            <v>7.4609682004367595E-8</v>
          </cell>
          <cell r="H133">
            <v>6.1316574430565103E-2</v>
          </cell>
          <cell r="I133">
            <v>0.17870618370333799</v>
          </cell>
          <cell r="J133"/>
        </row>
        <row r="134">
          <cell r="A134" t="str">
            <v>RHEM-SHCONBR3</v>
          </cell>
          <cell r="B134" t="str">
            <v>VAR_cap</v>
          </cell>
          <cell r="C134" t="str">
            <v>-</v>
          </cell>
          <cell r="D134">
            <v>3.4481823031780497E-2</v>
          </cell>
          <cell r="E134">
            <v>6.89636519585521E-2</v>
          </cell>
          <cell r="F134">
            <v>6.896274482244201E-2</v>
          </cell>
          <cell r="G134">
            <v>6.8963662744521426E-2</v>
          </cell>
          <cell r="H134">
            <v>0.13028034124291848</v>
          </cell>
          <cell r="I134">
            <v>0.27724976014483277</v>
          </cell>
          <cell r="J134"/>
          <cell r="K134"/>
        </row>
        <row r="135">
          <cell r="A135" t="str">
            <v>D-RHSA_ELC</v>
          </cell>
          <cell r="B135" t="str">
            <v>VAR_fout</v>
          </cell>
          <cell r="C135" t="str">
            <v>RHSA_ELC</v>
          </cell>
          <cell r="D135">
            <v>56.039111416036327</v>
          </cell>
          <cell r="E135">
            <v>55.023505217057014</v>
          </cell>
          <cell r="F135">
            <v>58.587657664187105</v>
          </cell>
          <cell r="G135">
            <v>60.464133122878486</v>
          </cell>
          <cell r="H135">
            <v>75.235577365824568</v>
          </cell>
          <cell r="I135">
            <v>72.633589589895195</v>
          </cell>
          <cell r="J135"/>
        </row>
        <row r="136">
          <cell r="A136" t="str">
            <v>D-RHSA_ELC</v>
          </cell>
          <cell r="B136" t="str">
            <v>VAR_fin</v>
          </cell>
          <cell r="C136" t="str">
            <v>RHNS_ELC</v>
          </cell>
          <cell r="D136">
            <v>14.032041154060211</v>
          </cell>
          <cell r="E136">
            <v>14.783020527559177</v>
          </cell>
          <cell r="F136">
            <v>15.217087973846207</v>
          </cell>
          <cell r="G136">
            <v>15.828580273141347</v>
          </cell>
          <cell r="H136">
            <v>19.770875291239904</v>
          </cell>
          <cell r="I136">
            <v>18.979886675134203</v>
          </cell>
          <cell r="J136"/>
          <cell r="K136"/>
        </row>
        <row r="137">
          <cell r="A137" t="str">
            <v>D-RHSA_ELC</v>
          </cell>
          <cell r="B137" t="str">
            <v>VAR_fin</v>
          </cell>
          <cell r="C137" t="str">
            <v>RHES_ELC</v>
          </cell>
          <cell r="D137">
            <v>16.310922921603289</v>
          </cell>
          <cell r="E137">
            <v>12.768840508388047</v>
          </cell>
          <cell r="F137">
            <v>13.367117370427817</v>
          </cell>
          <cell r="G137">
            <v>13.893911667663845</v>
          </cell>
          <cell r="H137">
            <v>17.231485266914401</v>
          </cell>
          <cell r="I137">
            <v>16.565545899895486</v>
          </cell>
          <cell r="J137"/>
        </row>
        <row r="138">
          <cell r="A138" t="str">
            <v>D-RHSA_ELC</v>
          </cell>
          <cell r="B138" t="str">
            <v>VAR_fin</v>
          </cell>
          <cell r="C138" t="str">
            <v>RHNM_ELC</v>
          </cell>
          <cell r="D138">
            <v>10.065892373146974</v>
          </cell>
          <cell r="E138">
            <v>14.770871337576088</v>
          </cell>
          <cell r="F138">
            <v>15.671814390416056</v>
          </cell>
          <cell r="G138">
            <v>16.335907579118388</v>
          </cell>
          <cell r="H138">
            <v>20.388460692437011</v>
          </cell>
          <cell r="I138">
            <v>19.662209900285607</v>
          </cell>
          <cell r="J138"/>
          <cell r="K138"/>
        </row>
        <row r="139">
          <cell r="A139" t="str">
            <v>D-RHSA_ELC</v>
          </cell>
          <cell r="B139" t="str">
            <v>VAR_fin</v>
          </cell>
          <cell r="C139" t="str">
            <v>RHEM_ELC</v>
          </cell>
          <cell r="D139">
            <v>15.630324917891773</v>
          </cell>
          <cell r="E139">
            <v>12.700798141834539</v>
          </cell>
          <cell r="F139">
            <v>14.331637929497047</v>
          </cell>
          <cell r="G139">
            <v>14.405733602954887</v>
          </cell>
          <cell r="H139">
            <v>17.844756115233224</v>
          </cell>
          <cell r="I139">
            <v>17.425947114579849</v>
          </cell>
          <cell r="J139"/>
          <cell r="K139"/>
        </row>
        <row r="140">
          <cell r="A140" t="str">
            <v>SCOM-SHLTHDH</v>
          </cell>
          <cell r="B140" t="str">
            <v>VAR_fout</v>
          </cell>
          <cell r="C140" t="str">
            <v>SCOM-SHLTHD</v>
          </cell>
          <cell r="D140">
            <v>5.5539048092603815</v>
          </cell>
          <cell r="E140">
            <v>6.0159375942529856</v>
          </cell>
          <cell r="F140">
            <v>4.9037774653385888</v>
          </cell>
          <cell r="G140">
            <v>5.9987517392518201</v>
          </cell>
          <cell r="H140">
            <v>6.6718138063631622</v>
          </cell>
          <cell r="I140">
            <v>6.1436362454084934</v>
          </cell>
          <cell r="J140"/>
        </row>
        <row r="141">
          <cell r="A141" t="str">
            <v>SCOM-SHLTHDH</v>
          </cell>
          <cell r="B141" t="str">
            <v>VAR_fin</v>
          </cell>
          <cell r="C141" t="str">
            <v>SCOMLTHDHC</v>
          </cell>
          <cell r="D141">
            <v>5.5539048092603815</v>
          </cell>
          <cell r="E141">
            <v>6.0159375942529856</v>
          </cell>
          <cell r="F141">
            <v>4.9037774653385888</v>
          </cell>
          <cell r="G141">
            <v>5.9987517392518201</v>
          </cell>
          <cell r="H141">
            <v>6.6718138063631622</v>
          </cell>
          <cell r="I141">
            <v>6.1436362454084934</v>
          </cell>
          <cell r="J141"/>
          <cell r="K141"/>
        </row>
        <row r="142">
          <cell r="A142" t="str">
            <v>SCOM-SHLTHDH</v>
          </cell>
          <cell r="B142" t="str">
            <v>VAR_fin</v>
          </cell>
          <cell r="C142" t="str">
            <v>SCOM_LTH_DH</v>
          </cell>
          <cell r="D142">
            <v>5.6100048578387662</v>
          </cell>
          <cell r="E142">
            <v>6.0767046406595826</v>
          </cell>
          <cell r="F142">
            <v>5.979110000324571</v>
          </cell>
          <cell r="G142">
            <v>7.2827006139473323</v>
          </cell>
          <cell r="H142">
            <v>8.099822198976911</v>
          </cell>
          <cell r="I142">
            <v>7.4585956214093834</v>
          </cell>
          <cell r="J142"/>
          <cell r="K142"/>
        </row>
        <row r="143">
          <cell r="A143" t="str">
            <v>SCOM-SHLTHDH</v>
          </cell>
          <cell r="B143" t="str">
            <v>VAR_ncap</v>
          </cell>
          <cell r="C143" t="str">
            <v>-</v>
          </cell>
          <cell r="D143">
            <v>1.19706458988668E-8</v>
          </cell>
          <cell r="E143">
            <v>2.52184173802244E-2</v>
          </cell>
          <cell r="F143">
            <v>2.7245859341017999E-2</v>
          </cell>
          <cell r="G143">
            <v>5.6919279468916999E-2</v>
          </cell>
          <cell r="H143">
            <v>0.1805515779138</v>
          </cell>
          <cell r="I143">
            <v>0.46117191447032901</v>
          </cell>
          <cell r="J143"/>
          <cell r="K143"/>
        </row>
        <row r="144">
          <cell r="A144" t="str">
            <v>SCOM-SHLTHDH</v>
          </cell>
          <cell r="B144" t="str">
            <v>VAR_cap</v>
          </cell>
          <cell r="C144" t="str">
            <v>-</v>
          </cell>
          <cell r="D144">
            <v>0.84970026490085093</v>
          </cell>
          <cell r="E144">
            <v>0.84964502704809064</v>
          </cell>
          <cell r="F144">
            <v>0.60966350847851136</v>
          </cell>
          <cell r="G144">
            <v>0.643596237271303</v>
          </cell>
          <cell r="H144">
            <v>0.84969908274670458</v>
          </cell>
          <cell r="I144">
            <v>0.84969221036995446</v>
          </cell>
          <cell r="J144"/>
          <cell r="K144"/>
        </row>
        <row r="145">
          <cell r="A145" t="str">
            <v>ITOT-SWHSTG-ELC</v>
          </cell>
          <cell r="B145" t="str">
            <v>VAR_fout</v>
          </cell>
          <cell r="C145" t="str">
            <v>ITOT-SWHAELC</v>
          </cell>
          <cell r="D145">
            <v>5.2933205434443236E-5</v>
          </cell>
          <cell r="E145">
            <v>2.8881111957623582E-5</v>
          </cell>
          <cell r="F145">
            <v>0.12044106542488585</v>
          </cell>
          <cell r="G145">
            <v>3.5132986019899477E-4</v>
          </cell>
          <cell r="H145">
            <v>0.54716031886646599</v>
          </cell>
          <cell r="I145">
            <v>0.75574462301853818</v>
          </cell>
          <cell r="J145"/>
          <cell r="K145"/>
        </row>
        <row r="146">
          <cell r="A146" t="str">
            <v>ITOT-SWHSTG-ELC</v>
          </cell>
          <cell r="B146" t="str">
            <v>VAR_fin</v>
          </cell>
          <cell r="C146" t="str">
            <v>ITOT-SWHAELC</v>
          </cell>
          <cell r="D146">
            <v>7.101551954970672E-5</v>
          </cell>
          <cell r="E146">
            <v>1.772769553020734E-5</v>
          </cell>
          <cell r="F146">
            <v>0.15544422708097902</v>
          </cell>
          <cell r="G146">
            <v>4.5128299874278813E-4</v>
          </cell>
          <cell r="H146">
            <v>0.64376621976542336</v>
          </cell>
          <cell r="I146">
            <v>0.83976996386250924</v>
          </cell>
          <cell r="J146"/>
          <cell r="K146"/>
        </row>
        <row r="147">
          <cell r="A147" t="str">
            <v>ITOT-SWHSTG-ELC</v>
          </cell>
          <cell r="B147" t="str">
            <v>VAR_ncap</v>
          </cell>
          <cell r="C147" t="str">
            <v>-</v>
          </cell>
          <cell r="D147">
            <v>1.03018114169122E-3</v>
          </cell>
          <cell r="E147">
            <v>0.172332704001601</v>
          </cell>
          <cell r="F147">
            <v>9.7241898348213706E-6</v>
          </cell>
          <cell r="G147">
            <v>7.9511900523205302E-4</v>
          </cell>
          <cell r="H147">
            <v>0.153523731579564</v>
          </cell>
          <cell r="I147">
            <v>5.7841296029327E-2</v>
          </cell>
          <cell r="J147"/>
          <cell r="K147"/>
        </row>
        <row r="148">
          <cell r="A148" t="str">
            <v>ITOT-SWHSTG-ELC</v>
          </cell>
          <cell r="B148" t="str">
            <v>VAR_cap</v>
          </cell>
          <cell r="C148" t="str">
            <v>-</v>
          </cell>
          <cell r="D148">
            <v>1.03018114169122E-3</v>
          </cell>
          <cell r="E148">
            <v>0.17336178726669793</v>
          </cell>
          <cell r="F148">
            <v>0.17337021229169514</v>
          </cell>
          <cell r="G148">
            <v>0.17416520068319924</v>
          </cell>
          <cell r="H148">
            <v>0.24828764515628507</v>
          </cell>
          <cell r="I148">
            <v>0.20911177882916818</v>
          </cell>
          <cell r="J148"/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ELC5</v>
          </cell>
          <cell r="D149">
            <v>0.37444909340763483</v>
          </cell>
          <cell r="E149">
            <v>1.6732528465609122</v>
          </cell>
          <cell r="F149">
            <v>5.3734558768950667</v>
          </cell>
          <cell r="G149">
            <v>5.7972000232480303</v>
          </cell>
          <cell r="H149">
            <v>15.646663648100565</v>
          </cell>
          <cell r="I149">
            <v>15.864928222018516</v>
          </cell>
          <cell r="J149"/>
          <cell r="K149"/>
        </row>
        <row r="150">
          <cell r="A150" t="str">
            <v>D-SCOM_SOLELC</v>
          </cell>
          <cell r="B150" t="str">
            <v>VAR_fout</v>
          </cell>
          <cell r="C150" t="str">
            <v>SCOM_ELC</v>
          </cell>
          <cell r="D150">
            <v>2.465174592364332</v>
          </cell>
          <cell r="E150">
            <v>1.6212052318241548</v>
          </cell>
          <cell r="F150">
            <v>4.5677702759286127</v>
          </cell>
          <cell r="G150">
            <v>4.9404429554293507</v>
          </cell>
          <cell r="H150">
            <v>10.70144957776354</v>
          </cell>
          <cell r="I150">
            <v>12.98597846571896</v>
          </cell>
          <cell r="J150"/>
          <cell r="K150"/>
        </row>
        <row r="151">
          <cell r="A151" t="str">
            <v>D-SCOM_SOLELC</v>
          </cell>
          <cell r="B151" t="str">
            <v>VAR_fin</v>
          </cell>
          <cell r="C151" t="str">
            <v>SCOM_SOL_ELC</v>
          </cell>
          <cell r="D151">
            <v>2.8396236857719668</v>
          </cell>
          <cell r="E151">
            <v>3.2944550569698281</v>
          </cell>
          <cell r="F151">
            <v>9.9412261528236776</v>
          </cell>
          <cell r="G151">
            <v>10.737642978677382</v>
          </cell>
          <cell r="H151">
            <v>26.348113225864093</v>
          </cell>
          <cell r="I151">
            <v>28.850906687737481</v>
          </cell>
          <cell r="J151"/>
          <cell r="K151"/>
        </row>
        <row r="152">
          <cell r="A152" t="str">
            <v>D-ILFO</v>
          </cell>
          <cell r="B152" t="str">
            <v>VAR_fout</v>
          </cell>
          <cell r="C152" t="str">
            <v>CO2</v>
          </cell>
          <cell r="D152">
            <v>688.91591836512703</v>
          </cell>
          <cell r="E152">
            <v>659.57627639537895</v>
          </cell>
          <cell r="F152">
            <v>602.63658619310797</v>
          </cell>
          <cell r="G152">
            <v>506.18838422037601</v>
          </cell>
          <cell r="H152">
            <v>206.098750422325</v>
          </cell>
          <cell r="I152">
            <v>4.3657711158121601E-4</v>
          </cell>
          <cell r="J152"/>
          <cell r="K152"/>
        </row>
        <row r="153">
          <cell r="A153" t="str">
            <v>D-ILFO</v>
          </cell>
          <cell r="B153" t="str">
            <v>VAR_fout</v>
          </cell>
          <cell r="C153" t="str">
            <v>ILFO</v>
          </cell>
          <cell r="D153">
            <v>9.1914548123334967</v>
          </cell>
          <cell r="E153">
            <v>8.8000079228278079</v>
          </cell>
          <cell r="F153">
            <v>8.0403812209495449</v>
          </cell>
          <cell r="G153">
            <v>6.9784662098747763</v>
          </cell>
          <cell r="H153">
            <v>2.9746750757930913</v>
          </cell>
          <cell r="I153">
            <v>0.22493045138776546</v>
          </cell>
          <cell r="J153"/>
        </row>
        <row r="154">
          <cell r="A154" t="str">
            <v>D-ILFO</v>
          </cell>
          <cell r="B154" t="str">
            <v>VAR_fin</v>
          </cell>
          <cell r="C154" t="str">
            <v>LFO</v>
          </cell>
          <cell r="D154">
            <v>9.3475701270709202</v>
          </cell>
          <cell r="E154">
            <v>8.9494745779562841</v>
          </cell>
          <cell r="F154">
            <v>8.1768871939363432</v>
          </cell>
          <cell r="G154">
            <v>6.8682277370471621</v>
          </cell>
          <cell r="H154">
            <v>2.7964552296109262</v>
          </cell>
          <cell r="I154">
            <v>5.9237057202336008E-6</v>
          </cell>
          <cell r="J154"/>
        </row>
        <row r="155">
          <cell r="A155" t="str">
            <v>D-ILFO</v>
          </cell>
          <cell r="B155" t="str">
            <v>VAR_fin</v>
          </cell>
          <cell r="C155" t="str">
            <v>BDS</v>
          </cell>
          <cell r="D155"/>
          <cell r="E155"/>
          <cell r="F155">
            <v>5.8550317294158273E-5</v>
          </cell>
          <cell r="G155">
            <v>0.22876662193780398</v>
          </cell>
          <cell r="H155">
            <v>0.22876736932374819</v>
          </cell>
          <cell r="I155">
            <v>0.22876769844403308</v>
          </cell>
          <cell r="J155"/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6.0444940014271432E-3</v>
          </cell>
          <cell r="G156">
            <v>5.4507461648040023E-3</v>
          </cell>
          <cell r="H156">
            <v>6.0187981855915401E-3</v>
          </cell>
          <cell r="I156">
            <v>2.4330564078872307E-2</v>
          </cell>
          <cell r="J156"/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6.0866814917691784E-3</v>
          </cell>
          <cell r="G157">
            <v>5.4917759170690552E-3</v>
          </cell>
          <cell r="H157">
            <v>6.0394680677491154E-3</v>
          </cell>
          <cell r="I157">
            <v>2.4351596950589225E-2</v>
          </cell>
          <cell r="J157"/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7.2785027635280198E-6</v>
          </cell>
          <cell r="E158">
            <v>8.9673371819609705E-6</v>
          </cell>
          <cell r="F158">
            <v>3.05867531513048E-2</v>
          </cell>
          <cell r="G158">
            <v>2.31039234604603E-2</v>
          </cell>
          <cell r="H158">
            <v>4.8665680409425899E-2</v>
          </cell>
          <cell r="I158">
            <v>3.4571948080001497E-2</v>
          </cell>
          <cell r="J158"/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7.2785027635280198E-6</v>
          </cell>
          <cell r="E159">
            <v>3.2051083664930122E-7</v>
          </cell>
          <cell r="F159">
            <v>3.0584221549929274E-2</v>
          </cell>
          <cell r="G159">
            <v>5.3684668434076391E-2</v>
          </cell>
          <cell r="H159">
            <v>8.3598914195284119E-2</v>
          </cell>
          <cell r="I159">
            <v>7.569068247404788E-2</v>
          </cell>
          <cell r="J159"/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1.5472158588390118E-4</v>
          </cell>
          <cell r="E160">
            <v>0.53709556503285361</v>
          </cell>
          <cell r="F160">
            <v>0.36505228502024201</v>
          </cell>
          <cell r="G160">
            <v>0.53700905132710686</v>
          </cell>
          <cell r="H160">
            <v>0.53704854329556184</v>
          </cell>
          <cell r="I160">
            <v>0.31050472996275008</v>
          </cell>
          <cell r="J160"/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1.5472158588390118E-4</v>
          </cell>
          <cell r="E161">
            <v>0.53709556503285361</v>
          </cell>
          <cell r="F161">
            <v>0.36505228502024201</v>
          </cell>
          <cell r="G161">
            <v>0.53700905132710686</v>
          </cell>
          <cell r="H161">
            <v>0.53704854329556184</v>
          </cell>
          <cell r="I161">
            <v>0.31050472996275008</v>
          </cell>
          <cell r="J161"/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5.2026753447545299E-6</v>
          </cell>
          <cell r="E162">
            <v>3.7916299192028699E-2</v>
          </cell>
          <cell r="F162">
            <v>1.43712119217865E-8</v>
          </cell>
          <cell r="G162">
            <v>2.3719965295785998E-8</v>
          </cell>
          <cell r="H162">
            <v>5.2210297184209199E-8</v>
          </cell>
          <cell r="I162">
            <v>1.05749672474133E-6</v>
          </cell>
          <cell r="J162"/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5.2026753447545299E-6</v>
          </cell>
          <cell r="E163">
            <v>3.7921501867373503E-2</v>
          </cell>
          <cell r="F163">
            <v>3.7920605610217914E-2</v>
          </cell>
          <cell r="G163">
            <v>3.7921451685931182E-2</v>
          </cell>
          <cell r="H163">
            <v>3.7921517358180043E-2</v>
          </cell>
          <cell r="I163">
            <v>2.1923224491824756E-2</v>
          </cell>
          <cell r="J163"/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7.5611672047540366E-4</v>
          </cell>
          <cell r="G164">
            <v>7.2799091667227029E-4</v>
          </cell>
          <cell r="H164">
            <v>2.3364387796871535E-3</v>
          </cell>
          <cell r="I164">
            <v>2.3179920165823696E-3</v>
          </cell>
          <cell r="J164"/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7.5611672047540366E-4</v>
          </cell>
          <cell r="G165">
            <v>7.2799091667227029E-4</v>
          </cell>
          <cell r="H165">
            <v>2.3364387796871535E-3</v>
          </cell>
          <cell r="I165">
            <v>2.3179920165823696E-3</v>
          </cell>
          <cell r="J165"/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2.38084156084717E-8</v>
          </cell>
          <cell r="F166">
            <v>5.25207244550913E-5</v>
          </cell>
          <cell r="G166">
            <v>5.8105426823900299E-8</v>
          </cell>
          <cell r="H166">
            <v>1.0526035814683699E-4</v>
          </cell>
          <cell r="I166">
            <v>3.80601144825526E-8</v>
          </cell>
          <cell r="J166"/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2.38084156084717E-8</v>
          </cell>
          <cell r="F167">
            <v>5.2530741285483944E-5</v>
          </cell>
          <cell r="G167">
            <v>5.2575825152186492E-5</v>
          </cell>
          <cell r="H167">
            <v>1.7617698144789266E-4</v>
          </cell>
          <cell r="I167">
            <v>1.7626991984757799E-4</v>
          </cell>
          <cell r="J167"/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9.715405955692482E-5</v>
          </cell>
          <cell r="E168">
            <v>0.56290207383239055</v>
          </cell>
          <cell r="F168">
            <v>0.38417932869989957</v>
          </cell>
          <cell r="G168">
            <v>0.56281602976542733</v>
          </cell>
          <cell r="H168">
            <v>0.56285500858872561</v>
          </cell>
          <cell r="I168">
            <v>0.32541685868266407</v>
          </cell>
          <cell r="J168"/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9.715405955692482E-5</v>
          </cell>
          <cell r="E169">
            <v>0.56290207383239055</v>
          </cell>
          <cell r="F169">
            <v>0.38417932869989957</v>
          </cell>
          <cell r="G169">
            <v>0.56281602976542733</v>
          </cell>
          <cell r="H169">
            <v>0.56285500858872561</v>
          </cell>
          <cell r="I169">
            <v>0.32541685868266407</v>
          </cell>
          <cell r="J169"/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1.3547537571254899E-7</v>
          </cell>
          <cell r="E170">
            <v>3.9743655567795001E-2</v>
          </cell>
          <cell r="F170">
            <v>1.2670841058062101E-8</v>
          </cell>
          <cell r="G170">
            <v>1.9696063528496199E-8</v>
          </cell>
          <cell r="H170">
            <v>4.0411876641199102E-8</v>
          </cell>
          <cell r="I170">
            <v>2.2293073721528801E-7</v>
          </cell>
          <cell r="J170"/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1.3547537571254899E-7</v>
          </cell>
          <cell r="E171">
            <v>3.9743791043170697E-2</v>
          </cell>
          <cell r="F171">
            <v>3.9742893122128926E-2</v>
          </cell>
          <cell r="G171">
            <v>3.9743735652165268E-2</v>
          </cell>
          <cell r="H171">
            <v>3.9743782856039932E-2</v>
          </cell>
          <cell r="I171">
            <v>2.2976221709301265E-2</v>
          </cell>
          <cell r="J171"/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28.61977234410038</v>
          </cell>
          <cell r="E172">
            <v>24.177383294617876</v>
          </cell>
          <cell r="F172">
            <v>28.022541726884395</v>
          </cell>
          <cell r="G172">
            <v>20.320411611115635</v>
          </cell>
          <cell r="H172">
            <v>11.829385014123874</v>
          </cell>
          <cell r="I172">
            <v>2.3657658679988298</v>
          </cell>
          <cell r="J172"/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2005.15339236201</v>
          </cell>
          <cell r="E173">
            <v>1692.43012873719</v>
          </cell>
          <cell r="F173">
            <v>1959.023467496</v>
          </cell>
          <cell r="G173">
            <v>1417.48141297906</v>
          </cell>
          <cell r="H173">
            <v>821.59678453087099</v>
          </cell>
          <cell r="I173">
            <v>163.60184311979199</v>
          </cell>
          <cell r="J173"/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35.552365112801667</v>
          </cell>
          <cell r="E174">
            <v>30.007626396049456</v>
          </cell>
          <cell r="F174">
            <v>34.734458643546056</v>
          </cell>
          <cell r="G174">
            <v>25.132649166295295</v>
          </cell>
          <cell r="H174">
            <v>14.567318874660851</v>
          </cell>
          <cell r="I174">
            <v>2.9007418992870972</v>
          </cell>
          <cell r="J174"/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1.43389974336206E-5</v>
          </cell>
          <cell r="F175">
            <v>6.7129022881715203E-6</v>
          </cell>
          <cell r="G175">
            <v>5.5792676688273997E-6</v>
          </cell>
          <cell r="H175">
            <v>0.366232004849535</v>
          </cell>
          <cell r="I175">
            <v>3.1115979367592398E-6</v>
          </cell>
          <cell r="J175"/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1.5565753560360323</v>
          </cell>
          <cell r="F176">
            <v>1.5565600396862562</v>
          </cell>
          <cell r="G176">
            <v>1.2641751354796547</v>
          </cell>
          <cell r="H176">
            <v>0.69703996796701617</v>
          </cell>
          <cell r="I176">
            <v>0.19356817524605302</v>
          </cell>
          <cell r="J176"/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2.1545955492094673E-2</v>
          </cell>
          <cell r="F177">
            <v>3.6972868098550453E-5</v>
          </cell>
          <cell r="G177">
            <v>1.2113650194191445E-4</v>
          </cell>
          <cell r="H177">
            <v>1.7525561799904804E-4</v>
          </cell>
          <cell r="I177">
            <v>3.0904828466620475E-4</v>
          </cell>
          <cell r="J177"/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2.1545955492094673E-2</v>
          </cell>
          <cell r="F178">
            <v>3.6972868098550453E-5</v>
          </cell>
          <cell r="G178">
            <v>1.2113650194191445E-4</v>
          </cell>
          <cell r="H178">
            <v>1.7525561799904804E-4</v>
          </cell>
          <cell r="I178">
            <v>3.0904828466620475E-4</v>
          </cell>
          <cell r="J178"/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3.1370980999616202E-3</v>
          </cell>
          <cell r="F179">
            <v>2.4640201696874399E-6</v>
          </cell>
          <cell r="G179">
            <v>2.5355342158832599E-6</v>
          </cell>
          <cell r="H179">
            <v>6.4277055292696306E-5</v>
          </cell>
          <cell r="I179">
            <v>3.4479959717496202E-5</v>
          </cell>
          <cell r="J179"/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3.1370980999616202E-3</v>
          </cell>
          <cell r="F180">
            <v>7.3952968584993029E-4</v>
          </cell>
          <cell r="G180">
            <v>7.181881148105901E-4</v>
          </cell>
          <cell r="H180">
            <v>9.7676015587140361E-5</v>
          </cell>
          <cell r="I180">
            <v>9.4314233278404032E-5</v>
          </cell>
          <cell r="J180"/>
          <cell r="K180"/>
          <cell r="L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1.4011322159639081</v>
          </cell>
          <cell r="E181">
            <v>1.6078009213911373</v>
          </cell>
          <cell r="F181">
            <v>0.41366775712370413</v>
          </cell>
          <cell r="G181">
            <v>0.50343581838378004</v>
          </cell>
          <cell r="H181">
            <v>0.54391725833024729</v>
          </cell>
          <cell r="I181">
            <v>0.43078933342358855</v>
          </cell>
          <cell r="J181"/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1.4011322159639081</v>
          </cell>
          <cell r="E182">
            <v>1.6078009213911373</v>
          </cell>
          <cell r="F182">
            <v>0.41366775712370413</v>
          </cell>
          <cell r="G182">
            <v>0.50343581838378004</v>
          </cell>
          <cell r="H182">
            <v>0.54391725833024729</v>
          </cell>
          <cell r="I182">
            <v>0.43078933342358855</v>
          </cell>
          <cell r="J182"/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1.5568135732932316</v>
          </cell>
          <cell r="E183">
            <v>1.7864454682123767</v>
          </cell>
          <cell r="F183">
            <v>0.56162312153322447</v>
          </cell>
          <cell r="G183">
            <v>0.68349826870306618</v>
          </cell>
          <cell r="H183">
            <v>0.73765974152521385</v>
          </cell>
          <cell r="I183">
            <v>0.57857723979505649</v>
          </cell>
          <cell r="J183"/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6.2818662249807702E-7</v>
          </cell>
          <cell r="E184">
            <v>1.47102966579698E-2</v>
          </cell>
          <cell r="F184">
            <v>4.80239583811066E-8</v>
          </cell>
          <cell r="G184">
            <v>2.3836763310847001E-7</v>
          </cell>
          <cell r="H184">
            <v>2.1724990528879402E-2</v>
          </cell>
          <cell r="I184">
            <v>7.64723087095399E-3</v>
          </cell>
          <cell r="J184"/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9.9699684306903097E-2</v>
          </cell>
          <cell r="E185">
            <v>0.11440995283559091</v>
          </cell>
          <cell r="F185">
            <v>6.4692292532587098E-2</v>
          </cell>
          <cell r="G185">
            <v>6.4691912485136296E-2</v>
          </cell>
          <cell r="H185">
            <v>3.8430557177736455E-2</v>
          </cell>
          <cell r="I185">
            <v>3.0480064300619811E-2</v>
          </cell>
          <cell r="J185"/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3.6554861279322192E-4</v>
          </cell>
          <cell r="F186">
            <v>2.1946699899649518E-4</v>
          </cell>
          <cell r="G186">
            <v>3.2072445530503097E-4</v>
          </cell>
          <cell r="H186">
            <v>3.4921911117745673E-4</v>
          </cell>
          <cell r="I186">
            <v>2.1317614054001567E-4</v>
          </cell>
          <cell r="J186"/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3.6554861279322192E-4</v>
          </cell>
          <cell r="F187">
            <v>2.1946699899649518E-4</v>
          </cell>
          <cell r="G187">
            <v>3.2072445530503097E-4</v>
          </cell>
          <cell r="H187">
            <v>3.4921911117745673E-4</v>
          </cell>
          <cell r="I187">
            <v>2.1317614054001567E-4</v>
          </cell>
          <cell r="J187"/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2.1268727488423499E-5</v>
          </cell>
          <cell r="F188">
            <v>1.15443712110269E-8</v>
          </cell>
          <cell r="G188">
            <v>1.6490182823749199E-8</v>
          </cell>
          <cell r="H188">
            <v>2.9614820412913699E-8</v>
          </cell>
          <cell r="I188">
            <v>8.3440052975898794E-8</v>
          </cell>
          <cell r="J188"/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2.1268727488423499E-5</v>
          </cell>
          <cell r="F189">
            <v>2.1219754552657208E-5</v>
          </cell>
          <cell r="G189">
            <v>2.1254764358443357E-5</v>
          </cell>
          <cell r="H189">
            <v>2.1276604489726393E-5</v>
          </cell>
          <cell r="I189">
            <v>1.244891517387419E-5</v>
          </cell>
          <cell r="J189"/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1.0703070701488863E-4</v>
          </cell>
          <cell r="F190">
            <v>8.8188079527576097E-5</v>
          </cell>
          <cell r="G190">
            <v>8.4131872530605219E-5</v>
          </cell>
          <cell r="H190">
            <v>9.5427565272329155E-5</v>
          </cell>
          <cell r="I190">
            <v>6.3382283536591393E-5</v>
          </cell>
          <cell r="J190"/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1.0703070701488863E-4</v>
          </cell>
          <cell r="F191">
            <v>8.8188079527576097E-5</v>
          </cell>
          <cell r="G191">
            <v>8.4131872530605219E-5</v>
          </cell>
          <cell r="H191">
            <v>9.5427565272329155E-5</v>
          </cell>
          <cell r="I191">
            <v>6.3382283536591393E-5</v>
          </cell>
          <cell r="J191"/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3.0132157879086902E-6</v>
          </cell>
          <cell r="F192">
            <v>1.22178746527528E-8</v>
          </cell>
          <cell r="G192">
            <v>1.7097389214931599E-8</v>
          </cell>
          <cell r="H192">
            <v>2.58728218916356E-8</v>
          </cell>
          <cell r="I192">
            <v>5.0016582928639499E-8</v>
          </cell>
          <cell r="J192"/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3.0132157879086902E-6</v>
          </cell>
          <cell r="F193">
            <v>2.9968988265133687E-6</v>
          </cell>
          <cell r="G193">
            <v>3.014529152480122E-6</v>
          </cell>
          <cell r="H193">
            <v>3.036034929800603E-6</v>
          </cell>
          <cell r="I193">
            <v>1.8650143079469799E-6</v>
          </cell>
          <cell r="J193"/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6.4411534267616778E-5</v>
          </cell>
          <cell r="F194">
            <v>6.5743446926077388E-5</v>
          </cell>
          <cell r="G194">
            <v>4.335106313604305E-5</v>
          </cell>
          <cell r="H194">
            <v>5.2300346297454089E-5</v>
          </cell>
          <cell r="I194">
            <v>3.7437524860537073E-5</v>
          </cell>
          <cell r="J194"/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6.4411534267616778E-5</v>
          </cell>
          <cell r="F195">
            <v>6.5743446926077388E-5</v>
          </cell>
          <cell r="G195">
            <v>4.335106313604305E-5</v>
          </cell>
          <cell r="H195">
            <v>5.2300346297454089E-5</v>
          </cell>
          <cell r="I195">
            <v>3.7437524860537073E-5</v>
          </cell>
          <cell r="J195"/>
        </row>
        <row r="196">
          <cell r="A196" t="str">
            <v>RHEM-SHCONBR8</v>
          </cell>
          <cell r="B196" t="str">
            <v>VAR_cap</v>
          </cell>
          <cell r="C196" t="str">
            <v>-</v>
          </cell>
          <cell r="D196"/>
          <cell r="E196"/>
          <cell r="F196">
            <v>-2.2060147864611099E-8</v>
          </cell>
          <cell r="G196">
            <v>-2.01935694253024E-8</v>
          </cell>
          <cell r="H196">
            <v>-4.3066358703620401E-8</v>
          </cell>
          <cell r="I196"/>
          <cell r="J196"/>
          <cell r="K196"/>
        </row>
        <row r="197">
          <cell r="A197" t="str">
            <v>RHES-SHELCHP</v>
          </cell>
          <cell r="B197" t="str">
            <v>VAR_fout</v>
          </cell>
          <cell r="C197" t="str">
            <v>RHES-SHAELCH</v>
          </cell>
          <cell r="D197">
            <v>9.1578276963538592</v>
          </cell>
          <cell r="E197">
            <v>10.2759236731493</v>
          </cell>
          <cell r="F197">
            <v>20.511190897239029</v>
          </cell>
          <cell r="G197">
            <v>28.436476641413083</v>
          </cell>
          <cell r="H197">
            <v>34.20904050676981</v>
          </cell>
          <cell r="I197">
            <v>32.945696305558407</v>
          </cell>
          <cell r="J197"/>
          <cell r="K197"/>
        </row>
        <row r="198">
          <cell r="A198" t="str">
            <v>RHES-SHELCHP</v>
          </cell>
          <cell r="B198" t="str">
            <v>VAR_fin</v>
          </cell>
          <cell r="C198" t="str">
            <v>RHES_ELC</v>
          </cell>
          <cell r="D198">
            <v>2.8618211391970636</v>
          </cell>
          <cell r="E198">
            <v>3.1585830790138725</v>
          </cell>
          <cell r="F198">
            <v>7.0887093778229255</v>
          </cell>
          <cell r="G198">
            <v>8.8703523919173435</v>
          </cell>
          <cell r="H198">
            <v>9.5168238672069716</v>
          </cell>
          <cell r="I198">
            <v>8.2818161612569288</v>
          </cell>
          <cell r="J198"/>
          <cell r="K198"/>
          <cell r="L198"/>
          <cell r="M198"/>
        </row>
        <row r="199">
          <cell r="A199" t="str">
            <v>RHES-SHELCHP</v>
          </cell>
          <cell r="B199" t="str">
            <v>VAR_fin</v>
          </cell>
          <cell r="C199" t="str">
            <v>RHESELCHPC</v>
          </cell>
          <cell r="D199">
            <v>9.1578276963538592</v>
          </cell>
          <cell r="E199">
            <v>10.2759236731493</v>
          </cell>
          <cell r="F199">
            <v>20.511190897239029</v>
          </cell>
          <cell r="G199">
            <v>28.436476641413083</v>
          </cell>
          <cell r="H199">
            <v>34.20904050676981</v>
          </cell>
          <cell r="I199">
            <v>32.945696305558407</v>
          </cell>
          <cell r="J199"/>
          <cell r="K199"/>
        </row>
        <row r="200">
          <cell r="A200" t="str">
            <v>RHES-SHELCHP</v>
          </cell>
          <cell r="B200" t="str">
            <v>VAR_ncap</v>
          </cell>
          <cell r="C200" t="str">
            <v>-</v>
          </cell>
          <cell r="D200">
            <v>1.2601347677504299E-7</v>
          </cell>
          <cell r="E200">
            <v>9.0328536787310204E-2</v>
          </cell>
          <cell r="F200">
            <v>0.82689291305114598</v>
          </cell>
          <cell r="G200">
            <v>0.64026242615677798</v>
          </cell>
          <cell r="H200">
            <v>1.3473345100222101</v>
          </cell>
          <cell r="I200">
            <v>1.33162200660575</v>
          </cell>
          <cell r="J200"/>
          <cell r="K200"/>
        </row>
        <row r="201">
          <cell r="A201" t="str">
            <v>RHES-SHELCHP</v>
          </cell>
          <cell r="B201" t="str">
            <v>VAR_cap</v>
          </cell>
          <cell r="C201" t="str">
            <v>-</v>
          </cell>
          <cell r="D201">
            <v>0.73983805393884172</v>
          </cell>
          <cell r="E201">
            <v>0.83016655902857583</v>
          </cell>
          <cell r="F201">
            <v>1.6570593305154506</v>
          </cell>
          <cell r="G201">
            <v>2.2973217208956318</v>
          </cell>
          <cell r="H201">
            <v>2.7636730410261605</v>
          </cell>
          <cell r="I201">
            <v>2.6616077607158979</v>
          </cell>
          <cell r="J201"/>
          <cell r="K201"/>
          <cell r="M201"/>
        </row>
        <row r="202">
          <cell r="A202" t="str">
            <v>RHSA-WHELCHP</v>
          </cell>
          <cell r="B202" t="str">
            <v>VAR_fout</v>
          </cell>
          <cell r="C202" t="str">
            <v>RHSA-WHAELCH</v>
          </cell>
          <cell r="D202">
            <v>3.2399151597820341</v>
          </cell>
          <cell r="E202">
            <v>3.6354738339535753</v>
          </cell>
          <cell r="F202">
            <v>5.07425640612054</v>
          </cell>
          <cell r="G202">
            <v>9.2072334584557272</v>
          </cell>
          <cell r="H202">
            <v>15.115613315857564</v>
          </cell>
          <cell r="I202">
            <v>17.805636381160049</v>
          </cell>
          <cell r="J202"/>
        </row>
        <row r="203">
          <cell r="A203" t="str">
            <v>RHSA-WHELCHP</v>
          </cell>
          <cell r="B203" t="str">
            <v>VAR_fin</v>
          </cell>
          <cell r="C203" t="str">
            <v>RHSA_ELC</v>
          </cell>
          <cell r="D203">
            <v>1.1489060850290893</v>
          </cell>
          <cell r="E203">
            <v>1.2864380162609952</v>
          </cell>
          <cell r="F203">
            <v>2.6908010467313104</v>
          </cell>
          <cell r="G203">
            <v>4.2652749983510336</v>
          </cell>
          <cell r="H203">
            <v>6.128365882942318</v>
          </cell>
          <cell r="I203">
            <v>6.4832469357675668</v>
          </cell>
          <cell r="J203"/>
        </row>
        <row r="204">
          <cell r="A204" t="str">
            <v>RHSA-WHELCHP</v>
          </cell>
          <cell r="B204" t="str">
            <v>VAR_ncap</v>
          </cell>
          <cell r="C204" t="str">
            <v>-</v>
          </cell>
          <cell r="D204">
            <v>1.8266344615005901E-6</v>
          </cell>
          <cell r="E204">
            <v>3.2770428779981299E-2</v>
          </cell>
          <cell r="F204">
            <v>8.9835371598147903E-2</v>
          </cell>
          <cell r="G204">
            <v>0.29245474485400902</v>
          </cell>
          <cell r="H204">
            <v>0.44664167440242802</v>
          </cell>
          <cell r="I204">
            <v>0.73712171593876297</v>
          </cell>
          <cell r="J204"/>
        </row>
        <row r="205">
          <cell r="A205" t="str">
            <v>RHSA-WHELCHP</v>
          </cell>
          <cell r="B205" t="str">
            <v>VAR_cap</v>
          </cell>
          <cell r="C205" t="str">
            <v>-</v>
          </cell>
          <cell r="D205">
            <v>0.2133544890537025</v>
          </cell>
          <cell r="E205">
            <v>0.24612483557948406</v>
          </cell>
          <cell r="F205">
            <v>0.33596005386163796</v>
          </cell>
          <cell r="G205">
            <v>0.62841473928671332</v>
          </cell>
          <cell r="H205">
            <v>1.0304843019080181</v>
          </cell>
          <cell r="I205">
            <v>1.2170062084200945</v>
          </cell>
          <cell r="J205"/>
        </row>
        <row r="206">
          <cell r="A206" t="str">
            <v>D-ITOT_LTH_CHP</v>
          </cell>
          <cell r="B206" t="str">
            <v>VAR_fout</v>
          </cell>
          <cell r="C206" t="str">
            <v>ITOT_LTH_CHP_ON</v>
          </cell>
          <cell r="D206">
            <v>5.6086478211292174</v>
          </cell>
          <cell r="E206">
            <v>6.0095235464268635</v>
          </cell>
          <cell r="F206">
            <v>6.1269341867590246</v>
          </cell>
          <cell r="G206">
            <v>7.709719263998756</v>
          </cell>
          <cell r="H206">
            <v>8.5899941058330818</v>
          </cell>
          <cell r="I206">
            <v>11.764449040402642</v>
          </cell>
          <cell r="J206"/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LTH</v>
          </cell>
          <cell r="D207"/>
          <cell r="E207">
            <v>1.5763326589218412E-5</v>
          </cell>
          <cell r="F207">
            <v>3.3551865239700267E-3</v>
          </cell>
          <cell r="G207">
            <v>4.1200819800931389E-3</v>
          </cell>
          <cell r="H207">
            <v>1.7724180551375458E-2</v>
          </cell>
          <cell r="I207">
            <v>2.4715725855710493E-2</v>
          </cell>
          <cell r="J207"/>
          <cell r="K207"/>
        </row>
        <row r="208">
          <cell r="A208" t="str">
            <v>D-ITOT_LTH_CHP</v>
          </cell>
          <cell r="B208" t="str">
            <v>VAR_fin</v>
          </cell>
          <cell r="C208" t="str">
            <v>ITOT_LTH_CHP</v>
          </cell>
          <cell r="D208">
            <v>5.6086478211292174</v>
          </cell>
          <cell r="E208">
            <v>6.0095393097534524</v>
          </cell>
          <cell r="F208">
            <v>6.1302893732829986</v>
          </cell>
          <cell r="G208">
            <v>7.7138393459788475</v>
          </cell>
          <cell r="H208">
            <v>8.6077182863844559</v>
          </cell>
          <cell r="I208">
            <v>11.789164766258349</v>
          </cell>
          <cell r="J208"/>
          <cell r="K208"/>
        </row>
        <row r="209">
          <cell r="A209" t="str">
            <v>RHEM-SHCONBR9</v>
          </cell>
          <cell r="B209" t="str">
            <v>VAR_fout</v>
          </cell>
          <cell r="C209" t="str">
            <v>RHEM-SHCON</v>
          </cell>
          <cell r="D209"/>
          <cell r="E209">
            <v>6.4382028493112093E-5</v>
          </cell>
          <cell r="F209">
            <v>6.5720717400487961E-5</v>
          </cell>
          <cell r="G209">
            <v>4.3172518159123091E-5</v>
          </cell>
          <cell r="H209">
            <v>5.202918854763766E-5</v>
          </cell>
          <cell r="I209">
            <v>3.7166667285002112E-5</v>
          </cell>
          <cell r="J209"/>
        </row>
        <row r="210">
          <cell r="A210" t="str">
            <v>RHEM-SHCONBR9</v>
          </cell>
          <cell r="B210" t="str">
            <v>VAR_fin</v>
          </cell>
          <cell r="C210" t="str">
            <v>CON</v>
          </cell>
          <cell r="D210"/>
          <cell r="E210">
            <v>6.4382028493112093E-5</v>
          </cell>
          <cell r="F210">
            <v>6.5720717400487961E-5</v>
          </cell>
          <cell r="G210">
            <v>4.3172518159123091E-5</v>
          </cell>
          <cell r="H210">
            <v>5.202918854763766E-5</v>
          </cell>
          <cell r="I210">
            <v>3.7166667285002112E-5</v>
          </cell>
          <cell r="J210"/>
          <cell r="K210"/>
        </row>
        <row r="211">
          <cell r="A211" t="str">
            <v>RHEM-SHCONBR9</v>
          </cell>
          <cell r="B211" t="str">
            <v>VAR_cap</v>
          </cell>
          <cell r="C211" t="str">
            <v>-</v>
          </cell>
          <cell r="D211"/>
          <cell r="E211"/>
          <cell r="F211">
            <v>-2.18072396363196E-8</v>
          </cell>
          <cell r="G211">
            <v>-2.0366968982526402E-8</v>
          </cell>
          <cell r="H211">
            <v>-4.4298560867444797E-8</v>
          </cell>
          <cell r="I211"/>
          <cell r="J211"/>
          <cell r="K211"/>
        </row>
        <row r="212">
          <cell r="A212" t="str">
            <v>SCOM-SHELCHP</v>
          </cell>
          <cell r="B212" t="str">
            <v>VAR_fout</v>
          </cell>
          <cell r="C212" t="str">
            <v>SCOM-SHAELCH</v>
          </cell>
          <cell r="D212">
            <v>4.2612478573393773</v>
          </cell>
          <cell r="E212">
            <v>4.6176657958165226</v>
          </cell>
          <cell r="F212">
            <v>5.4183315755164925</v>
          </cell>
          <cell r="G212">
            <v>14.33798849993341</v>
          </cell>
          <cell r="H212">
            <v>24.870748228317314</v>
          </cell>
          <cell r="I212">
            <v>26.643310137112682</v>
          </cell>
          <cell r="J212"/>
          <cell r="K212"/>
        </row>
        <row r="213">
          <cell r="A213" t="str">
            <v>SCOM-SHELCHP</v>
          </cell>
          <cell r="B213" t="str">
            <v>VAR_fin</v>
          </cell>
          <cell r="C213" t="str">
            <v>SCOMELCHPC</v>
          </cell>
          <cell r="D213">
            <v>4.2612478573393773</v>
          </cell>
          <cell r="E213">
            <v>4.6176657958165226</v>
          </cell>
          <cell r="F213">
            <v>5.4183315755164925</v>
          </cell>
          <cell r="G213">
            <v>14.33798849993341</v>
          </cell>
          <cell r="H213">
            <v>24.870748228317314</v>
          </cell>
          <cell r="I213">
            <v>26.643310137112682</v>
          </cell>
          <cell r="J213"/>
        </row>
        <row r="214">
          <cell r="A214" t="str">
            <v>SCOM-SHELCHP</v>
          </cell>
          <cell r="B214" t="str">
            <v>VAR_fin</v>
          </cell>
          <cell r="C214" t="str">
            <v>SCOM_ELC</v>
          </cell>
          <cell r="D214">
            <v>1.331639955418555</v>
          </cell>
          <cell r="E214">
            <v>1.425205492535963</v>
          </cell>
          <cell r="F214">
            <v>1.897904029499436</v>
          </cell>
          <cell r="G214">
            <v>4.301176685099156</v>
          </cell>
          <cell r="H214">
            <v>6.7580894266301339</v>
          </cell>
          <cell r="I214">
            <v>6.8106528784758709</v>
          </cell>
          <cell r="J214"/>
          <cell r="K214"/>
        </row>
        <row r="215">
          <cell r="A215" t="str">
            <v>SCOM-SHELCHP</v>
          </cell>
          <cell r="B215" t="str">
            <v>VAR_ncap</v>
          </cell>
          <cell r="C215" t="str">
            <v>-</v>
          </cell>
          <cell r="D215">
            <v>6.9643694869539605E-8</v>
          </cell>
          <cell r="E215">
            <v>1.08605782970013E-7</v>
          </cell>
          <cell r="F215">
            <v>4.03812480885906E-7</v>
          </cell>
          <cell r="G215">
            <v>0.67824619118549001</v>
          </cell>
          <cell r="H215">
            <v>0.78680921271030801</v>
          </cell>
          <cell r="I215">
            <v>1.2060617272512799</v>
          </cell>
          <cell r="J215"/>
        </row>
        <row r="216">
          <cell r="A216" t="str">
            <v>SCOM-SHELCHP</v>
          </cell>
          <cell r="B216" t="str">
            <v>VAR_cap</v>
          </cell>
          <cell r="C216" t="str">
            <v>-</v>
          </cell>
          <cell r="D216">
            <v>0.43061738309748288</v>
          </cell>
          <cell r="E216">
            <v>0.43061639129009771</v>
          </cell>
          <cell r="F216">
            <v>0.43061623228412954</v>
          </cell>
          <cell r="G216">
            <v>1.1088636886157235</v>
          </cell>
          <cell r="H216">
            <v>1.9404117720717082</v>
          </cell>
          <cell r="I216">
            <v>2.0690982051850129</v>
          </cell>
          <cell r="J216"/>
        </row>
        <row r="217">
          <cell r="A217" t="str">
            <v>D-ITOT_NKEV_OIL_ELC_CHP</v>
          </cell>
          <cell r="B217" t="str">
            <v>VAR_fout</v>
          </cell>
          <cell r="C217" t="str">
            <v>ITOT_ELC</v>
          </cell>
          <cell r="D217">
            <v>6.8920391143035831E-2</v>
          </cell>
          <cell r="E217">
            <v>0.17031311336844981</v>
          </cell>
          <cell r="F217">
            <v>1.0041610568497811E-2</v>
          </cell>
          <cell r="G217">
            <v>0.16917882297861975</v>
          </cell>
          <cell r="H217"/>
          <cell r="I217"/>
          <cell r="J217"/>
          <cell r="K217"/>
        </row>
        <row r="218">
          <cell r="A218" t="str">
            <v>D-ITOT_NKEV_OIL_ELC_CHP</v>
          </cell>
          <cell r="B218" t="str">
            <v>VAR_fout</v>
          </cell>
          <cell r="C218" t="str">
            <v>ELC5</v>
          </cell>
          <cell r="D218">
            <v>1.5874375832500645E-3</v>
          </cell>
          <cell r="E218">
            <v>1.187663838144629E-3</v>
          </cell>
          <cell r="F218">
            <v>6.1561050524092185E-4</v>
          </cell>
          <cell r="G218">
            <v>2.0043746145242706E-3</v>
          </cell>
          <cell r="H218"/>
          <cell r="I218"/>
          <cell r="J218"/>
        </row>
        <row r="219">
          <cell r="A219" t="str">
            <v>D-ITOT_NKEV_OIL_ELC_CHP</v>
          </cell>
          <cell r="B219" t="str">
            <v>VAR_fin</v>
          </cell>
          <cell r="C219" t="str">
            <v>ITOT_NKEV_OIL_ELC_CHP</v>
          </cell>
          <cell r="D219">
            <v>7.0507828726285915E-2</v>
          </cell>
          <cell r="E219">
            <v>0.17150077720659426</v>
          </cell>
          <cell r="F219">
            <v>1.0643053266378056E-2</v>
          </cell>
          <cell r="G219">
            <v>0.17117193931391847</v>
          </cell>
          <cell r="H219"/>
          <cell r="I219"/>
          <cell r="J219"/>
        </row>
        <row r="220">
          <cell r="A220" t="str">
            <v>RHNS-SHELCBR</v>
          </cell>
          <cell r="B220" t="str">
            <v>VAR_fout</v>
          </cell>
          <cell r="C220" t="str">
            <v>RHNS-SHAELCB</v>
          </cell>
          <cell r="D220"/>
          <cell r="E220">
            <v>6.9066875482036147E-2</v>
          </cell>
          <cell r="F220">
            <v>4.3977965026771523E-3</v>
          </cell>
          <cell r="G220">
            <v>9.0605467693872371E-3</v>
          </cell>
          <cell r="H220">
            <v>9.1460003774064408E-3</v>
          </cell>
          <cell r="I220">
            <v>7.9320733190976021E-3</v>
          </cell>
          <cell r="J220"/>
        </row>
        <row r="221">
          <cell r="A221" t="str">
            <v>RHNS-SHELCBR</v>
          </cell>
          <cell r="B221" t="str">
            <v>VAR_fin</v>
          </cell>
          <cell r="C221" t="str">
            <v>RHNS_ELC</v>
          </cell>
          <cell r="D221"/>
          <cell r="E221">
            <v>7.2701974191616975E-2</v>
          </cell>
          <cell r="F221">
            <v>4.629259476502277E-3</v>
          </cell>
          <cell r="G221">
            <v>9.537417651986577E-3</v>
          </cell>
          <cell r="H221">
            <v>9.6273688183225667E-3</v>
          </cell>
          <cell r="I221">
            <v>8.3495508622079967E-3</v>
          </cell>
          <cell r="J221"/>
        </row>
        <row r="222">
          <cell r="A222" t="str">
            <v>RHNS-SHELCBR</v>
          </cell>
          <cell r="B222" t="str">
            <v>VAR_ncap</v>
          </cell>
          <cell r="C222" t="str">
            <v>-</v>
          </cell>
          <cell r="D222"/>
          <cell r="E222">
            <v>5.0873390283871101E-3</v>
          </cell>
          <cell r="F222"/>
          <cell r="G222"/>
          <cell r="H222"/>
          <cell r="I222"/>
          <cell r="J222"/>
          <cell r="K222"/>
        </row>
        <row r="223">
          <cell r="A223" t="str">
            <v>RHNS-SHELCBR</v>
          </cell>
          <cell r="B223" t="str">
            <v>VAR_cap</v>
          </cell>
          <cell r="C223" t="str">
            <v>-</v>
          </cell>
          <cell r="D223"/>
          <cell r="E223">
            <v>5.0873390283871101E-3</v>
          </cell>
          <cell r="F223">
            <v>5.0788927743257118E-3</v>
          </cell>
          <cell r="G223">
            <v>5.0722502636043418E-3</v>
          </cell>
          <cell r="H223">
            <v>1.5460347888299748E-3</v>
          </cell>
          <cell r="I223">
            <v>6.5386171935305915E-4</v>
          </cell>
          <cell r="J223"/>
          <cell r="K223"/>
        </row>
        <row r="224">
          <cell r="A224" t="str">
            <v>ITOT-SWHSTG-SOL</v>
          </cell>
          <cell r="B224" t="str">
            <v>VAR_fout</v>
          </cell>
          <cell r="C224" t="str">
            <v>ITOT-SWHASOL</v>
          </cell>
          <cell r="D224">
            <v>2.340559813437903E-4</v>
          </cell>
          <cell r="E224">
            <v>2.284116182131245E-4</v>
          </cell>
          <cell r="F224">
            <v>2.576297333474425E-4</v>
          </cell>
          <cell r="G224">
            <v>1.9335201449749775E-4</v>
          </cell>
          <cell r="H224">
            <v>6.0839260882063792E-4</v>
          </cell>
          <cell r="I224">
            <v>4.7416118993858631E-4</v>
          </cell>
          <cell r="J224"/>
        </row>
        <row r="225">
          <cell r="A225" t="str">
            <v>ITOT-SWHSTG-SOL</v>
          </cell>
          <cell r="B225" t="str">
            <v>VAR_fin</v>
          </cell>
          <cell r="C225" t="str">
            <v>ITOT-SWHASOL</v>
          </cell>
          <cell r="D225">
            <v>2.0643021343969369E-4</v>
          </cell>
          <cell r="E225">
            <v>2.2426775302924202E-4</v>
          </cell>
          <cell r="F225">
            <v>2.2326036206023466E-4</v>
          </cell>
          <cell r="G225">
            <v>1.4964693906366165E-4</v>
          </cell>
          <cell r="H225">
            <v>6.5187397176537712E-4</v>
          </cell>
          <cell r="I225">
            <v>4.5908211129641179E-4</v>
          </cell>
          <cell r="J225"/>
        </row>
        <row r="226">
          <cell r="A226" t="str">
            <v>ITOT-SWHSTG-SOL</v>
          </cell>
          <cell r="B226" t="str">
            <v>VAR_ncap</v>
          </cell>
          <cell r="C226" t="str">
            <v>-</v>
          </cell>
          <cell r="D226">
            <v>1.1121895373621501E-5</v>
          </cell>
          <cell r="E226">
            <v>2.47108437560827E-8</v>
          </cell>
          <cell r="F226">
            <v>4.7338661440330196E-6</v>
          </cell>
          <cell r="G226">
            <v>4.2594923171393602E-6</v>
          </cell>
          <cell r="H226">
            <v>5.24191789881377E-5</v>
          </cell>
          <cell r="I226">
            <v>2.6154423581787602E-7</v>
          </cell>
          <cell r="J226"/>
        </row>
        <row r="227">
          <cell r="A227" t="str">
            <v>ITOT-SWHSTG-SOL</v>
          </cell>
          <cell r="B227" t="str">
            <v>VAR_cap</v>
          </cell>
          <cell r="C227" t="str">
            <v>-</v>
          </cell>
          <cell r="D227">
            <v>1.1121895373621501E-5</v>
          </cell>
          <cell r="E227">
            <v>1.11466062173775E-5</v>
          </cell>
          <cell r="F227">
            <v>1.58804723614106E-5</v>
          </cell>
          <cell r="G227">
            <v>2.01399646785499E-5</v>
          </cell>
          <cell r="H227">
            <v>7.8150174967663895E-5</v>
          </cell>
          <cell r="I227">
            <v>4.7602739006135301E-5</v>
          </cell>
          <cell r="J227"/>
          <cell r="K227"/>
        </row>
        <row r="228">
          <cell r="A228" t="str">
            <v>RHES-SHLTHCHPNGA</v>
          </cell>
          <cell r="B228" t="str">
            <v>VAR_fout</v>
          </cell>
          <cell r="C228" t="str">
            <v>RHES-SHLTHC-NGA</v>
          </cell>
          <cell r="D228">
            <v>3.0338770648317727E-2</v>
          </cell>
          <cell r="E228">
            <v>4.2970666227848588E-3</v>
          </cell>
          <cell r="F228"/>
          <cell r="G228"/>
          <cell r="H228"/>
          <cell r="I228"/>
          <cell r="J228"/>
          <cell r="K228"/>
        </row>
        <row r="229">
          <cell r="A229" t="str">
            <v>RHES-SHLTHCHPNGA</v>
          </cell>
          <cell r="B229" t="str">
            <v>VAR_fin</v>
          </cell>
          <cell r="C229" t="str">
            <v>RHESLTHCHPC</v>
          </cell>
          <cell r="D229">
            <v>3.0338770648317727E-2</v>
          </cell>
          <cell r="E229">
            <v>4.2970666227848588E-3</v>
          </cell>
          <cell r="F229"/>
          <cell r="G229"/>
          <cell r="H229"/>
          <cell r="I229"/>
          <cell r="J229"/>
          <cell r="K229"/>
        </row>
        <row r="230">
          <cell r="A230" t="str">
            <v>RHES-SHLTHCHPNGA</v>
          </cell>
          <cell r="B230" t="str">
            <v>VAR_fin</v>
          </cell>
          <cell r="C230" t="str">
            <v>RHES_LTH_CHPNGA_ON</v>
          </cell>
          <cell r="D230">
            <v>3.0645222877088617E-2</v>
          </cell>
          <cell r="E230">
            <v>4.3404713361463263E-3</v>
          </cell>
          <cell r="F230"/>
          <cell r="G230"/>
          <cell r="H230"/>
          <cell r="I230"/>
          <cell r="J230"/>
        </row>
        <row r="231">
          <cell r="A231" t="str">
            <v>RHES-SHLTHCHPNGA</v>
          </cell>
          <cell r="B231" t="str">
            <v>VAR_ncap</v>
          </cell>
          <cell r="C231" t="str">
            <v>-</v>
          </cell>
          <cell r="D231"/>
          <cell r="E231">
            <v>3.2526798252846599E-4</v>
          </cell>
          <cell r="F231">
            <v>7.0249405308075302E-4</v>
          </cell>
          <cell r="G231">
            <v>5.4259792275812395E-4</v>
          </cell>
          <cell r="H231">
            <v>9.4851062744672295E-5</v>
          </cell>
          <cell r="I231">
            <v>2.7323049120592598E-8</v>
          </cell>
          <cell r="J231"/>
        </row>
        <row r="232">
          <cell r="A232" t="str">
            <v>RHES-SHLTHCHPNGA</v>
          </cell>
          <cell r="B232" t="str">
            <v>VAR_cap</v>
          </cell>
          <cell r="C232" t="str">
            <v>-</v>
          </cell>
          <cell r="D232">
            <v>5.3757649990155603E-3</v>
          </cell>
          <cell r="E232">
            <v>5.8957465836945687E-4</v>
          </cell>
          <cell r="F232">
            <v>1.0772382920637008E-3</v>
          </cell>
          <cell r="G232">
            <v>1.0613759604297399E-3</v>
          </cell>
          <cell r="H232">
            <v>2.2394948185923403E-4</v>
          </cell>
          <cell r="I232"/>
          <cell r="J232"/>
        </row>
        <row r="233">
          <cell r="A233" t="str">
            <v>RHSA-WHSTG-ELC</v>
          </cell>
          <cell r="B233" t="str">
            <v>VAR_fout</v>
          </cell>
          <cell r="C233" t="str">
            <v>RHSA-WHAELCB</v>
          </cell>
          <cell r="D233">
            <v>8.7067341197899495E-8</v>
          </cell>
          <cell r="E233">
            <v>1.368660347427636E-6</v>
          </cell>
          <cell r="F233">
            <v>0.46820768597173279</v>
          </cell>
          <cell r="G233">
            <v>0.33595218036372804</v>
          </cell>
          <cell r="H233">
            <v>0.24922660023190077</v>
          </cell>
          <cell r="I233">
            <v>0.15841104372294693</v>
          </cell>
          <cell r="J233"/>
        </row>
        <row r="234">
          <cell r="A234" t="str">
            <v>RHSA-WHSTG-ELC</v>
          </cell>
          <cell r="B234" t="str">
            <v>VAR_fin</v>
          </cell>
          <cell r="C234" t="str">
            <v>RHSA-WHAELCB</v>
          </cell>
          <cell r="D234">
            <v>2.0820056921287081E-5</v>
          </cell>
          <cell r="E234">
            <v>2.1061303591652864E-6</v>
          </cell>
          <cell r="F234">
            <v>0.46821619642285961</v>
          </cell>
          <cell r="G234">
            <v>0.3359583966298535</v>
          </cell>
          <cell r="H234">
            <v>0.24923120462817561</v>
          </cell>
          <cell r="I234">
            <v>0.15841549725097956</v>
          </cell>
          <cell r="J234"/>
          <cell r="K234"/>
        </row>
        <row r="235">
          <cell r="A235" t="str">
            <v>RHSA-WHSTG-ELC</v>
          </cell>
          <cell r="B235" t="str">
            <v>VAR_ncap</v>
          </cell>
          <cell r="C235" t="str">
            <v>-</v>
          </cell>
          <cell r="D235">
            <v>6.0368433490847802E-3</v>
          </cell>
          <cell r="E235">
            <v>0.105052214151757</v>
          </cell>
          <cell r="F235">
            <v>3.7312279083890202E-6</v>
          </cell>
          <cell r="G235">
            <v>8.5873043208214004E-6</v>
          </cell>
          <cell r="H235">
            <v>4.4437157457373699E-2</v>
          </cell>
          <cell r="I235">
            <v>2.0013856642838001E-5</v>
          </cell>
          <cell r="J235"/>
        </row>
        <row r="236">
          <cell r="A236" t="str">
            <v>RHSA-WHSTG-ELC</v>
          </cell>
          <cell r="B236" t="str">
            <v>VAR_cap</v>
          </cell>
          <cell r="C236" t="str">
            <v>-</v>
          </cell>
          <cell r="D236">
            <v>6.0377527179735014E-3</v>
          </cell>
          <cell r="E236">
            <v>0.11108253860338259</v>
          </cell>
          <cell r="F236">
            <v>7.7356524883830824E-2</v>
          </cell>
          <cell r="G236">
            <v>5.6978258571544621E-2</v>
          </cell>
          <cell r="H236">
            <v>4.7591761210604835E-2</v>
          </cell>
          <cell r="I236">
            <v>2.9887931646074849E-2</v>
          </cell>
          <cell r="J236"/>
          <cell r="K236"/>
        </row>
        <row r="237">
          <cell r="A237" t="str">
            <v>ITOT-SWHLFOBR</v>
          </cell>
          <cell r="B237" t="str">
            <v>VAR_fout</v>
          </cell>
          <cell r="C237" t="str">
            <v>ITOT-SWH</v>
          </cell>
          <cell r="D237">
            <v>6.9177265593736186</v>
          </cell>
          <cell r="E237">
            <v>6.3112697191921319</v>
          </cell>
          <cell r="F237">
            <v>6.2428106256344131</v>
          </cell>
          <cell r="G237">
            <v>4.9600430924292542</v>
          </cell>
          <cell r="H237">
            <v>2.3501113042320458</v>
          </cell>
          <cell r="I237">
            <v>0.17911851396159525</v>
          </cell>
          <cell r="J237"/>
          <cell r="K237"/>
        </row>
        <row r="238">
          <cell r="A238" t="str">
            <v>ITOT-SWHLFOBR</v>
          </cell>
          <cell r="B238" t="str">
            <v>VAR_fout</v>
          </cell>
          <cell r="C238" t="str">
            <v>CO2_I</v>
          </cell>
          <cell r="D238">
            <v>655.770135009054</v>
          </cell>
          <cell r="E238">
            <v>597.31437051541195</v>
          </cell>
          <cell r="F238">
            <v>589.40725425865901</v>
          </cell>
          <cell r="G238">
            <v>466.41755212217601</v>
          </cell>
          <cell r="H238">
            <v>219.233553085951</v>
          </cell>
          <cell r="I238">
            <v>16.577374267278302</v>
          </cell>
          <cell r="J238"/>
          <cell r="K238"/>
        </row>
        <row r="239">
          <cell r="A239" t="str">
            <v>ITOT-SWHLFOBR</v>
          </cell>
          <cell r="B239" t="str">
            <v>VAR_fin</v>
          </cell>
          <cell r="C239" t="str">
            <v>ILFO</v>
          </cell>
          <cell r="D239">
            <v>8.897830868508203</v>
          </cell>
          <cell r="E239">
            <v>8.1046725985809154</v>
          </cell>
          <cell r="F239">
            <v>7.9973847253549319</v>
          </cell>
          <cell r="G239">
            <v>6.3285963652941097</v>
          </cell>
          <cell r="H239">
            <v>2.9746750757930913</v>
          </cell>
          <cell r="I239">
            <v>0.22493045138776546</v>
          </cell>
          <cell r="J239"/>
          <cell r="K239"/>
        </row>
        <row r="240">
          <cell r="A240" t="str">
            <v>ITOT-SWHLFOBR</v>
          </cell>
          <cell r="B240" t="str">
            <v>VAR_ncap</v>
          </cell>
          <cell r="C240" t="str">
            <v>-</v>
          </cell>
          <cell r="D240"/>
          <cell r="E240">
            <v>6.9818944583646299E-3</v>
          </cell>
          <cell r="F240">
            <v>4.4987178277863102E-6</v>
          </cell>
          <cell r="G240">
            <v>9.0241407906297399E-6</v>
          </cell>
          <cell r="H240">
            <v>2.32678354697393E-2</v>
          </cell>
          <cell r="I240">
            <v>3.1661828359214401E-6</v>
          </cell>
          <cell r="J240"/>
          <cell r="K240"/>
        </row>
        <row r="241">
          <cell r="A241" t="str">
            <v>ITOT-SWHLFOBR</v>
          </cell>
          <cell r="B241" t="str">
            <v>VAR_cap</v>
          </cell>
          <cell r="C241" t="str">
            <v>-</v>
          </cell>
          <cell r="D241">
            <v>0.37633543963083199</v>
          </cell>
          <cell r="E241">
            <v>0.38331551461956387</v>
          </cell>
          <cell r="F241">
            <v>0.38325411019304978</v>
          </cell>
          <cell r="G241">
            <v>0.38188671732136714</v>
          </cell>
          <cell r="H241">
            <v>0.1579230848710351</v>
          </cell>
          <cell r="I241">
            <v>1.6669532590842598E-2</v>
          </cell>
          <cell r="J241"/>
        </row>
        <row r="242">
          <cell r="A242" t="str">
            <v>D-SCOM_LTH_CHPNGA</v>
          </cell>
          <cell r="B242" t="str">
            <v>VAR_fout</v>
          </cell>
          <cell r="C242" t="str">
            <v>LTH</v>
          </cell>
          <cell r="D242"/>
          <cell r="E242">
            <v>3.1947175458140038E-6</v>
          </cell>
          <cell r="F242"/>
          <cell r="G242"/>
          <cell r="H242"/>
          <cell r="I242"/>
          <cell r="J242"/>
          <cell r="K242"/>
        </row>
        <row r="243">
          <cell r="A243" t="str">
            <v>D-SCOM_LTH_CHPNGA</v>
          </cell>
          <cell r="B243" t="str">
            <v>VAR_fout</v>
          </cell>
          <cell r="C243" t="str">
            <v>SCOM_LTH_CHPNGA_ON</v>
          </cell>
          <cell r="D243">
            <v>0.69257890432236269</v>
          </cell>
          <cell r="E243">
            <v>0.75019581004429614</v>
          </cell>
          <cell r="F243"/>
          <cell r="G243"/>
          <cell r="H243"/>
          <cell r="I243"/>
          <cell r="J243"/>
          <cell r="K243"/>
        </row>
        <row r="244">
          <cell r="A244" t="str">
            <v>D-SCOM_LTH_CHPNGA</v>
          </cell>
          <cell r="B244" t="str">
            <v>VAR_fin</v>
          </cell>
          <cell r="C244" t="str">
            <v>SCOM_LTH_CHPNGA</v>
          </cell>
          <cell r="D244">
            <v>0.69257890432236269</v>
          </cell>
          <cell r="E244">
            <v>0.75019941877678109</v>
          </cell>
          <cell r="F244"/>
          <cell r="G244"/>
          <cell r="H244"/>
          <cell r="I244"/>
          <cell r="J244"/>
          <cell r="K244"/>
        </row>
        <row r="245">
          <cell r="A245" t="str">
            <v>D-IWOD</v>
          </cell>
          <cell r="B245" t="str">
            <v>VAR_fout</v>
          </cell>
          <cell r="C245" t="str">
            <v>IWOD</v>
          </cell>
          <cell r="D245">
            <v>9.874727410825173</v>
          </cell>
          <cell r="E245">
            <v>12.920025631830681</v>
          </cell>
          <cell r="F245">
            <v>10.042614290796028</v>
          </cell>
          <cell r="G245">
            <v>10.944200193388117</v>
          </cell>
          <cell r="H245">
            <v>15.214009383699906</v>
          </cell>
          <cell r="I245">
            <v>16.255495846215357</v>
          </cell>
          <cell r="J245"/>
        </row>
        <row r="246">
          <cell r="A246" t="str">
            <v>D-IWOD</v>
          </cell>
          <cell r="B246" t="str">
            <v>VAR_fin</v>
          </cell>
          <cell r="C246" t="str">
            <v>WOD</v>
          </cell>
          <cell r="D246">
            <v>9.874727410825173</v>
          </cell>
          <cell r="E246">
            <v>12.920025631830681</v>
          </cell>
          <cell r="F246">
            <v>10.042614290796028</v>
          </cell>
          <cell r="G246">
            <v>10.944200193388117</v>
          </cell>
          <cell r="H246">
            <v>15.214009383699906</v>
          </cell>
          <cell r="I246">
            <v>16.255495846215357</v>
          </cell>
          <cell r="J246"/>
          <cell r="K246"/>
        </row>
        <row r="247">
          <cell r="A247" t="str">
            <v>SCOM-ELCSPEC</v>
          </cell>
          <cell r="B247" t="str">
            <v>VAR_fout</v>
          </cell>
          <cell r="C247" t="str">
            <v>SCOM-ELS</v>
          </cell>
          <cell r="D247">
            <v>56.994774574912441</v>
          </cell>
          <cell r="E247">
            <v>58.701896783050522</v>
          </cell>
          <cell r="F247">
            <v>45.224163731923738</v>
          </cell>
          <cell r="G247">
            <v>37.59979124296116</v>
          </cell>
          <cell r="H247">
            <v>31.982137490542812</v>
          </cell>
          <cell r="I247">
            <v>27.422531201223176</v>
          </cell>
          <cell r="J247"/>
          <cell r="K247"/>
        </row>
        <row r="248">
          <cell r="A248" t="str">
            <v>SCOM-ELCSPEC</v>
          </cell>
          <cell r="B248" t="str">
            <v>VAR_fin</v>
          </cell>
          <cell r="C248" t="str">
            <v>SCOM_ELC</v>
          </cell>
          <cell r="D248">
            <v>56.994774574912441</v>
          </cell>
          <cell r="E248">
            <v>58.701896783050522</v>
          </cell>
          <cell r="F248">
            <v>45.224163731923738</v>
          </cell>
          <cell r="G248">
            <v>37.59979124296116</v>
          </cell>
          <cell r="H248">
            <v>31.982137490542812</v>
          </cell>
          <cell r="I248">
            <v>27.422531201223176</v>
          </cell>
          <cell r="J248"/>
        </row>
        <row r="249">
          <cell r="A249" t="str">
            <v>SCOM-ELCSPEC</v>
          </cell>
          <cell r="B249" t="str">
            <v>VAR_ncap</v>
          </cell>
          <cell r="C249" t="str">
            <v>-</v>
          </cell>
          <cell r="D249">
            <v>1.5919945707580099E-7</v>
          </cell>
          <cell r="E249">
            <v>7.1010496284046398E-7</v>
          </cell>
          <cell r="F249">
            <v>5.86933005342986E-7</v>
          </cell>
          <cell r="G249">
            <v>6.0393978712376598E-7</v>
          </cell>
          <cell r="H249">
            <v>1.16783264451168E-6</v>
          </cell>
          <cell r="I249">
            <v>2.5982605722978902</v>
          </cell>
          <cell r="J249"/>
        </row>
        <row r="250">
          <cell r="A250" t="str">
            <v>SCOM-ELCSPEC</v>
          </cell>
          <cell r="B250" t="str">
            <v>VAR_cap</v>
          </cell>
          <cell r="C250" t="str">
            <v>-</v>
          </cell>
          <cell r="D250">
            <v>6.6055314275533172</v>
          </cell>
          <cell r="E250">
            <v>6.2047510842589029</v>
          </cell>
          <cell r="F250">
            <v>4.7801643599244645</v>
          </cell>
          <cell r="G250">
            <v>3.9742725508428931</v>
          </cell>
          <cell r="H250">
            <v>3.3804912480931408</v>
          </cell>
          <cell r="I250">
            <v>2.8985425093672919</v>
          </cell>
          <cell r="J250"/>
        </row>
        <row r="251">
          <cell r="A251" t="str">
            <v>D-ITOT_KEV_WST_ELC_CHP</v>
          </cell>
          <cell r="B251" t="str">
            <v>VAR_fout</v>
          </cell>
          <cell r="C251" t="str">
            <v>ITOT_ELC</v>
          </cell>
          <cell r="D251">
            <v>6.0122780321432174E-4</v>
          </cell>
          <cell r="E251">
            <v>2.1413002702666553E-4</v>
          </cell>
          <cell r="F251">
            <v>4.1517306103009083E-4</v>
          </cell>
          <cell r="G251">
            <v>0.32178168251705952</v>
          </cell>
          <cell r="H251">
            <v>0.26529624689048847</v>
          </cell>
          <cell r="I251">
            <v>0.4929261086078276</v>
          </cell>
          <cell r="J251"/>
        </row>
        <row r="252">
          <cell r="A252" t="str">
            <v>D-ITOT_KEV_WST_ELC_CHP</v>
          </cell>
          <cell r="B252" t="str">
            <v>VAR_fout</v>
          </cell>
          <cell r="C252" t="str">
            <v>ELC5</v>
          </cell>
          <cell r="D252">
            <v>0.22944651248359557</v>
          </cell>
          <cell r="E252">
            <v>0.22994520601797408</v>
          </cell>
          <cell r="F252">
            <v>0.33630720218206506</v>
          </cell>
          <cell r="G252">
            <v>1.1177002471817778E-2</v>
          </cell>
          <cell r="H252">
            <v>5.1337398445689499E-2</v>
          </cell>
          <cell r="I252">
            <v>9.9997153566400265E-2</v>
          </cell>
          <cell r="J252"/>
          <cell r="K252"/>
        </row>
        <row r="253">
          <cell r="A253" t="str">
            <v>D-ITOT_KEV_WST_ELC_CHP</v>
          </cell>
          <cell r="B253" t="str">
            <v>VAR_fin</v>
          </cell>
          <cell r="C253" t="str">
            <v>ITOT_KEV_WST_ELC_CHP</v>
          </cell>
          <cell r="D253">
            <v>0.23004774028680994</v>
          </cell>
          <cell r="E253">
            <v>0.23015933604500072</v>
          </cell>
          <cell r="F253">
            <v>0.33670705432740033</v>
          </cell>
          <cell r="G253">
            <v>0.33294742670362881</v>
          </cell>
          <cell r="H253">
            <v>0.3166336453361781</v>
          </cell>
          <cell r="I253">
            <v>0.59292326217422764</v>
          </cell>
          <cell r="J253"/>
          <cell r="K253"/>
        </row>
        <row r="254">
          <cell r="A254" t="str">
            <v>D-RHNM_SOLELC</v>
          </cell>
          <cell r="B254" t="str">
            <v>VAR_fout</v>
          </cell>
          <cell r="C254" t="str">
            <v>ELC5</v>
          </cell>
          <cell r="D254"/>
          <cell r="E254">
            <v>1.9968433840443235E-6</v>
          </cell>
          <cell r="F254">
            <v>0.91065108066669775</v>
          </cell>
          <cell r="G254">
            <v>1.0061404214384684</v>
          </cell>
          <cell r="H254">
            <v>0.99921646478404669</v>
          </cell>
          <cell r="I254">
            <v>1.0541816581274177</v>
          </cell>
          <cell r="J254"/>
          <cell r="K254"/>
        </row>
        <row r="255">
          <cell r="A255" t="str">
            <v>D-RHNM_SOLELC</v>
          </cell>
          <cell r="B255" t="str">
            <v>VAR_fout</v>
          </cell>
          <cell r="C255" t="str">
            <v>RHNM_ELC</v>
          </cell>
          <cell r="D255"/>
          <cell r="E255">
            <v>1.9992946883395402E-6</v>
          </cell>
          <cell r="F255">
            <v>0.79826561272803775</v>
          </cell>
          <cell r="G255">
            <v>0.90202804583444551</v>
          </cell>
          <cell r="H255">
            <v>1.001984372781396</v>
          </cell>
          <cell r="I255">
            <v>1.1176554245731602</v>
          </cell>
          <cell r="J255"/>
        </row>
        <row r="256">
          <cell r="A256" t="str">
            <v>D-RHNM_SOLELC</v>
          </cell>
          <cell r="B256" t="str">
            <v>VAR_fin</v>
          </cell>
          <cell r="C256" t="str">
            <v>RHNM_SOL_ELC</v>
          </cell>
          <cell r="D256"/>
          <cell r="E256">
            <v>1.1571177163573153E-6</v>
          </cell>
          <cell r="F256">
            <v>1.7089166933947344</v>
          </cell>
          <cell r="G256">
            <v>1.9081684672729129</v>
          </cell>
          <cell r="H256">
            <v>2.0012008375654431</v>
          </cell>
          <cell r="I256">
            <v>2.1718370827005771</v>
          </cell>
          <cell r="J256"/>
        </row>
        <row r="257">
          <cell r="A257" t="str">
            <v>RHNM-SHSTG-ELCHP</v>
          </cell>
          <cell r="B257" t="str">
            <v>VAR_fout</v>
          </cell>
          <cell r="C257" t="str">
            <v>RHNM-SHAELCH</v>
          </cell>
          <cell r="D257"/>
          <cell r="E257">
            <v>3.3372983245312494E-6</v>
          </cell>
          <cell r="F257">
            <v>0.17827147949272401</v>
          </cell>
          <cell r="G257">
            <v>0.32656234076101476</v>
          </cell>
          <cell r="H257">
            <v>0.5119549217159477</v>
          </cell>
          <cell r="I257">
            <v>0.54587667535825213</v>
          </cell>
          <cell r="J257"/>
          <cell r="K257"/>
        </row>
        <row r="258">
          <cell r="A258" t="str">
            <v>RHNM-SHSTG-ELCHP</v>
          </cell>
          <cell r="B258" t="str">
            <v>VAR_fin</v>
          </cell>
          <cell r="C258" t="str">
            <v>RHNM-SHAELCH</v>
          </cell>
          <cell r="D258"/>
          <cell r="E258">
            <v>1.2204698253093931E-5</v>
          </cell>
          <cell r="F258">
            <v>0.17828029988215183</v>
          </cell>
          <cell r="G258">
            <v>0.32658096311206181</v>
          </cell>
          <cell r="H258">
            <v>0.51198198592982125</v>
          </cell>
          <cell r="I258">
            <v>0.54590890758356936</v>
          </cell>
          <cell r="J258"/>
        </row>
        <row r="259">
          <cell r="A259" t="str">
            <v>RHNM-SHSTG-ELCHP</v>
          </cell>
          <cell r="B259" t="str">
            <v>VAR_ncap</v>
          </cell>
          <cell r="C259" t="str">
            <v>-</v>
          </cell>
          <cell r="D259">
            <v>1.03060846492549E-5</v>
          </cell>
          <cell r="E259">
            <v>1.5356229764804899E-5</v>
          </cell>
          <cell r="F259">
            <v>1.7167850526388501E-2</v>
          </cell>
          <cell r="G259">
            <v>1.18395737744158E-2</v>
          </cell>
          <cell r="H259">
            <v>2.58820725842752E-2</v>
          </cell>
          <cell r="I259">
            <v>3.5087381459107399E-2</v>
          </cell>
          <cell r="J259"/>
          <cell r="K259"/>
        </row>
        <row r="260">
          <cell r="A260" t="str">
            <v>RHNM-SHSTG-ELCHP</v>
          </cell>
          <cell r="B260" t="str">
            <v>VAR_cap</v>
          </cell>
          <cell r="C260" t="str">
            <v>-</v>
          </cell>
          <cell r="D260">
            <v>1.03060846492549E-5</v>
          </cell>
          <cell r="E260">
            <v>1.5291594942948002E-5</v>
          </cell>
          <cell r="F260">
            <v>1.7178058201355945E-2</v>
          </cell>
          <cell r="G260">
            <v>2.9011512152450413E-2</v>
          </cell>
          <cell r="H260">
            <v>4.6625067905384322E-2</v>
          </cell>
          <cell r="I260">
            <v>5.7928938797866918E-2</v>
          </cell>
          <cell r="J260"/>
          <cell r="K260"/>
        </row>
        <row r="261">
          <cell r="A261" t="str">
            <v>D-SCOM_LTH</v>
          </cell>
          <cell r="B261" t="str">
            <v>VAR_fout</v>
          </cell>
          <cell r="C261" t="str">
            <v>SCOM_LTH_DH</v>
          </cell>
          <cell r="D261">
            <v>5.6100048578387662</v>
          </cell>
          <cell r="E261">
            <v>6.0767046406595826</v>
          </cell>
          <cell r="F261">
            <v>5.979110000324571</v>
          </cell>
          <cell r="G261">
            <v>7.2827006139473323</v>
          </cell>
          <cell r="H261">
            <v>8.099822198976911</v>
          </cell>
          <cell r="I261">
            <v>7.4585956214093834</v>
          </cell>
          <cell r="J261"/>
          <cell r="K261"/>
        </row>
        <row r="262">
          <cell r="A262" t="str">
            <v>D-SCOM_LTH</v>
          </cell>
          <cell r="B262" t="str">
            <v>VAR_fin</v>
          </cell>
          <cell r="C262" t="str">
            <v>LTH</v>
          </cell>
          <cell r="D262">
            <v>6.0987810147819745</v>
          </cell>
          <cell r="E262">
            <v>6.6044062150992788</v>
          </cell>
          <cell r="F262">
            <v>6.4957756948960705</v>
          </cell>
          <cell r="G262">
            <v>7.9068189561205093</v>
          </cell>
          <cell r="H262">
            <v>8.7824383044660639</v>
          </cell>
          <cell r="I262">
            <v>8.0765839973880809</v>
          </cell>
          <cell r="J262"/>
          <cell r="K262"/>
        </row>
        <row r="263">
          <cell r="A263" t="str">
            <v>D-SCOM_LTH</v>
          </cell>
          <cell r="B263" t="str">
            <v>VAR_ncap</v>
          </cell>
          <cell r="C263" t="str">
            <v>-</v>
          </cell>
          <cell r="D263">
            <v>0.84970021712889399</v>
          </cell>
          <cell r="E263">
            <v>2.4665767960347399E-8</v>
          </cell>
          <cell r="F263">
            <v>2.81544217867482E-8</v>
          </cell>
          <cell r="G263">
            <v>3.2291945347010103E-8</v>
          </cell>
          <cell r="H263">
            <v>6.0212745725929404E-8</v>
          </cell>
          <cell r="I263">
            <v>6.5163429597128006E-8</v>
          </cell>
          <cell r="J263"/>
        </row>
        <row r="264">
          <cell r="A264" t="str">
            <v>D-SCOM_LTH</v>
          </cell>
          <cell r="B264" t="str">
            <v>VAR_cap</v>
          </cell>
          <cell r="C264" t="str">
            <v>-</v>
          </cell>
          <cell r="D264">
            <v>0.84970021712889399</v>
          </cell>
          <cell r="E264">
            <v>0.84970024179466197</v>
          </cell>
          <cell r="F264">
            <v>0.84970026994908399</v>
          </cell>
          <cell r="G264">
            <v>0.84970030224102899</v>
          </cell>
          <cell r="H264">
            <v>0.84970041029324905</v>
          </cell>
          <cell r="I264">
            <v>0.84970047545667804</v>
          </cell>
          <cell r="J264"/>
        </row>
        <row r="265">
          <cell r="A265" t="str">
            <v>ITOT-SWHBIOBR</v>
          </cell>
          <cell r="B265" t="str">
            <v>VAR_fout</v>
          </cell>
          <cell r="C265" t="str">
            <v>ITOT-SWH</v>
          </cell>
          <cell r="D265">
            <v>0.31052863929088059</v>
          </cell>
          <cell r="E265">
            <v>0.39252252146046906</v>
          </cell>
          <cell r="F265">
            <v>3.0362497234188481</v>
          </cell>
          <cell r="G265">
            <v>5.9526580010183849</v>
          </cell>
          <cell r="H265">
            <v>6.2776368807742537</v>
          </cell>
          <cell r="I265">
            <v>7.3011171084772641</v>
          </cell>
          <cell r="J265"/>
        </row>
        <row r="266">
          <cell r="A266" t="str">
            <v>ITOT-SWHBIOBR</v>
          </cell>
          <cell r="B266" t="str">
            <v>VAR_fin</v>
          </cell>
          <cell r="C266" t="str">
            <v>IBIO</v>
          </cell>
          <cell r="D266">
            <v>0.43674914105609136</v>
          </cell>
          <cell r="E266">
            <v>0.55207105690642666</v>
          </cell>
          <cell r="F266">
            <v>4.2703934225300229</v>
          </cell>
          <cell r="G266">
            <v>8.372233475412644</v>
          </cell>
          <cell r="H266">
            <v>8.8293064427204691</v>
          </cell>
          <cell r="I266">
            <v>10.140440428440646</v>
          </cell>
          <cell r="J266"/>
        </row>
        <row r="267">
          <cell r="A267" t="str">
            <v>ITOT-SWHBIOBR</v>
          </cell>
          <cell r="B267" t="str">
            <v>VAR_ncap</v>
          </cell>
          <cell r="C267" t="str">
            <v>-</v>
          </cell>
          <cell r="D267"/>
          <cell r="E267">
            <v>1.69396030361426E-2</v>
          </cell>
          <cell r="F267">
            <v>0.14559947671533199</v>
          </cell>
          <cell r="G267">
            <v>0.15471939830393899</v>
          </cell>
          <cell r="H267">
            <v>0.41812804944167797</v>
          </cell>
          <cell r="I267">
            <v>0.149508020323908</v>
          </cell>
          <cell r="J267"/>
        </row>
        <row r="268">
          <cell r="A268" t="str">
            <v>ITOT-SWHBIOBR</v>
          </cell>
          <cell r="B268" t="str">
            <v>VAR_cap</v>
          </cell>
          <cell r="C268" t="str">
            <v>-</v>
          </cell>
          <cell r="D268">
            <v>1.7013611085743299E-2</v>
          </cell>
          <cell r="E268">
            <v>3.3950560981642279E-2</v>
          </cell>
          <cell r="F268">
            <v>0.17954617157658775</v>
          </cell>
          <cell r="G268">
            <v>0.33426285172397552</v>
          </cell>
          <cell r="H268">
            <v>0.5941369993792277</v>
          </cell>
          <cell r="I268">
            <v>0.47180186012685432</v>
          </cell>
          <cell r="J268"/>
        </row>
        <row r="269">
          <cell r="A269" t="str">
            <v>RHNS-SHPLTBR</v>
          </cell>
          <cell r="B269" t="str">
            <v>VAR_fout</v>
          </cell>
          <cell r="C269" t="str">
            <v>RHNS-SHPLT</v>
          </cell>
          <cell r="D269"/>
          <cell r="E269"/>
          <cell r="F269">
            <v>1.6407669432422472E-3</v>
          </cell>
          <cell r="G269">
            <v>1.2808531476379311E-2</v>
          </cell>
          <cell r="H269">
            <v>1.4172740777631126E-2</v>
          </cell>
          <cell r="I269">
            <v>1.6835901569745085E-2</v>
          </cell>
          <cell r="J269"/>
        </row>
        <row r="270">
          <cell r="A270" t="str">
            <v>RHNS-SHPLTBR</v>
          </cell>
          <cell r="B270" t="str">
            <v>VAR_fin</v>
          </cell>
          <cell r="C270" t="str">
            <v>RPLT</v>
          </cell>
          <cell r="D270"/>
          <cell r="E270"/>
          <cell r="F270">
            <v>2.2056606718539387E-3</v>
          </cell>
          <cell r="G270">
            <v>1.6796993069122142E-2</v>
          </cell>
          <cell r="H270">
            <v>1.852368982098811E-2</v>
          </cell>
          <cell r="I270">
            <v>2.1961555930093225E-2</v>
          </cell>
          <cell r="J270"/>
          <cell r="K270"/>
        </row>
        <row r="271">
          <cell r="A271" t="str">
            <v>RHNS-SHPLTBR</v>
          </cell>
          <cell r="B271" t="str">
            <v>VAR_ncap</v>
          </cell>
          <cell r="C271" t="str">
            <v>-</v>
          </cell>
          <cell r="D271"/>
          <cell r="E271">
            <v>7.1711396311846105E-8</v>
          </cell>
          <cell r="F271">
            <v>1.3751740908908401E-4</v>
          </cell>
          <cell r="G271">
            <v>8.2533225200319296E-4</v>
          </cell>
          <cell r="H271">
            <v>4.1500220181358199E-4</v>
          </cell>
          <cell r="I271">
            <v>9.1718180634865504E-4</v>
          </cell>
          <cell r="J271"/>
          <cell r="K271"/>
        </row>
        <row r="272">
          <cell r="A272" t="str">
            <v>RHNS-SHPLTBR</v>
          </cell>
          <cell r="B272" t="str">
            <v>VAR_cap</v>
          </cell>
          <cell r="C272" t="str">
            <v>-</v>
          </cell>
          <cell r="D272"/>
          <cell r="E272">
            <v>7.1711396311846105E-8</v>
          </cell>
          <cell r="F272">
            <v>1.3752660213425059E-4</v>
          </cell>
          <cell r="G272">
            <v>9.6269235481685799E-4</v>
          </cell>
          <cell r="H272">
            <v>1.0439942902258558E-3</v>
          </cell>
          <cell r="I272">
            <v>1.2357009031009232E-3</v>
          </cell>
          <cell r="J272"/>
          <cell r="K272"/>
        </row>
        <row r="273">
          <cell r="A273" t="str">
            <v>D-RHNM_KEV_WOD_ELC_CHP</v>
          </cell>
          <cell r="B273" t="str">
            <v>VAR_fout</v>
          </cell>
          <cell r="C273" t="str">
            <v>ELC5</v>
          </cell>
          <cell r="D273"/>
          <cell r="E273"/>
          <cell r="F273"/>
          <cell r="G273">
            <v>1.0009709179259639E-3</v>
          </cell>
          <cell r="H273">
            <v>9.0819351026056816E-2</v>
          </cell>
          <cell r="I273">
            <v>5.9213401622543502E-2</v>
          </cell>
          <cell r="J273"/>
          <cell r="K273"/>
        </row>
        <row r="274">
          <cell r="A274" t="str">
            <v>D-RHNM_KEV_WOD_ELC_CHP</v>
          </cell>
          <cell r="B274" t="str">
            <v>VAR_fout</v>
          </cell>
          <cell r="C274" t="str">
            <v>RHNM_ELC</v>
          </cell>
          <cell r="D274"/>
          <cell r="E274"/>
          <cell r="F274"/>
          <cell r="G274">
            <v>1.8735165747679489E-4</v>
          </cell>
          <cell r="H274">
            <v>9.05064855168837E-2</v>
          </cell>
          <cell r="I274">
            <v>5.9073424190517219E-2</v>
          </cell>
          <cell r="J274"/>
          <cell r="K274"/>
        </row>
        <row r="275">
          <cell r="A275" t="str">
            <v>D-RHNM_KEV_WOD_ELC_CHP</v>
          </cell>
          <cell r="B275" t="str">
            <v>VAR_fin</v>
          </cell>
          <cell r="C275" t="str">
            <v>RHNM_KEV_WOD_ELC_CHP</v>
          </cell>
          <cell r="D275"/>
          <cell r="E275"/>
          <cell r="F275"/>
          <cell r="G275">
            <v>1.1817071427929701E-3</v>
          </cell>
          <cell r="H275">
            <v>0.1813166936537976</v>
          </cell>
          <cell r="I275">
            <v>0.11827864956867928</v>
          </cell>
          <cell r="J275"/>
          <cell r="K275"/>
        </row>
        <row r="276">
          <cell r="A276" t="str">
            <v>SCOM-SHLTHCHPNGA</v>
          </cell>
          <cell r="B276" t="str">
            <v>VAR_fout</v>
          </cell>
          <cell r="C276" t="str">
            <v>SCOM-SHLTHC-NGA</v>
          </cell>
          <cell r="D276">
            <v>0.68565311527913886</v>
          </cell>
          <cell r="E276">
            <v>0.74269385194385285</v>
          </cell>
          <cell r="F276"/>
          <cell r="G276"/>
          <cell r="H276"/>
          <cell r="I276"/>
          <cell r="J276"/>
          <cell r="K276"/>
        </row>
        <row r="277">
          <cell r="A277" t="str">
            <v>SCOM-SHLTHCHPNGA</v>
          </cell>
          <cell r="B277" t="str">
            <v>VAR_fin</v>
          </cell>
          <cell r="C277" t="str">
            <v>SCOMLTHCHPC</v>
          </cell>
          <cell r="D277">
            <v>0.68565311527913886</v>
          </cell>
          <cell r="E277">
            <v>0.74269385194385285</v>
          </cell>
          <cell r="F277"/>
          <cell r="G277"/>
          <cell r="H277"/>
          <cell r="I277"/>
          <cell r="J277"/>
          <cell r="K277"/>
        </row>
        <row r="278">
          <cell r="A278" t="str">
            <v>SCOM-SHLTHCHPNGA</v>
          </cell>
          <cell r="B278" t="str">
            <v>VAR_fin</v>
          </cell>
          <cell r="C278" t="str">
            <v>SCOM_LTH_CHPNGA_ON</v>
          </cell>
          <cell r="D278">
            <v>0.69257890432236269</v>
          </cell>
          <cell r="E278">
            <v>0.75019581004429614</v>
          </cell>
          <cell r="F278"/>
          <cell r="G278"/>
          <cell r="H278"/>
          <cell r="I278"/>
          <cell r="J278"/>
        </row>
        <row r="279">
          <cell r="A279" t="str">
            <v>SCOM-SHLTHCHPNGA</v>
          </cell>
          <cell r="B279" t="str">
            <v>VAR_ncap</v>
          </cell>
          <cell r="C279" t="str">
            <v>-</v>
          </cell>
          <cell r="D279">
            <v>6.2757883908453699E-8</v>
          </cell>
          <cell r="E279">
            <v>1.3466319767983201E-2</v>
          </cell>
          <cell r="F279">
            <v>1.1328371177729901E-2</v>
          </cell>
          <cell r="G279">
            <v>1.25242213145804E-2</v>
          </cell>
          <cell r="H279">
            <v>6.2800274290978403E-3</v>
          </cell>
          <cell r="I279">
            <v>2.4570754789372102E-7</v>
          </cell>
          <cell r="J279"/>
          <cell r="K279"/>
        </row>
        <row r="280">
          <cell r="A280" t="str">
            <v>SCOM-SHLTHCHPNGA</v>
          </cell>
          <cell r="B280" t="str">
            <v>VAR_cap</v>
          </cell>
          <cell r="C280" t="str">
            <v>-</v>
          </cell>
          <cell r="D280">
            <v>7.5969331716410807E-2</v>
          </cell>
          <cell r="E280">
            <v>5.7391946628353403E-2</v>
          </cell>
          <cell r="F280">
            <v>2.9521773793366901E-2</v>
          </cell>
          <cell r="G280">
            <v>3.0367425707924015E-2</v>
          </cell>
          <cell r="H280">
            <v>2.1135443730585603E-2</v>
          </cell>
          <cell r="I280">
            <v>-1.4749565530047803E-7</v>
          </cell>
          <cell r="J280"/>
          <cell r="K280"/>
        </row>
        <row r="281">
          <cell r="A281" t="str">
            <v>ITOT-PROCESSCO2</v>
          </cell>
          <cell r="B281" t="str">
            <v>VAR_fout</v>
          </cell>
          <cell r="C281" t="str">
            <v>CO2</v>
          </cell>
          <cell r="D281">
            <v>2089.34680048464</v>
          </cell>
          <cell r="E281">
            <v>2111.0131698740802</v>
          </cell>
          <cell r="F281">
            <v>2102.26947106126</v>
          </cell>
          <cell r="G281">
            <v>2093.6573221219301</v>
          </cell>
          <cell r="H281">
            <v>2077.4168175129798</v>
          </cell>
          <cell r="I281">
            <v>2063.7495876142302</v>
          </cell>
          <cell r="J281"/>
        </row>
        <row r="282">
          <cell r="A282" t="str">
            <v>ITOT-PROCESSCO2</v>
          </cell>
          <cell r="B282" t="str">
            <v>VAR_fout</v>
          </cell>
          <cell r="C282" t="str">
            <v>CO2P</v>
          </cell>
          <cell r="D282">
            <v>2089.34680048464</v>
          </cell>
          <cell r="E282">
            <v>2111.0131698740802</v>
          </cell>
          <cell r="F282">
            <v>2102.26947106126</v>
          </cell>
          <cell r="G282">
            <v>2093.6573221219292</v>
          </cell>
          <cell r="H282">
            <v>2077.4168175129753</v>
          </cell>
          <cell r="I282">
            <v>2063.7495876142257</v>
          </cell>
          <cell r="J282"/>
          <cell r="K282"/>
        </row>
        <row r="283">
          <cell r="A283" t="str">
            <v>RHNM-SHWODBR</v>
          </cell>
          <cell r="B283" t="str">
            <v>VAR_fout</v>
          </cell>
          <cell r="C283" t="str">
            <v>RHNM-SHWOD</v>
          </cell>
          <cell r="D283"/>
          <cell r="E283">
            <v>8.114423454360209E-2</v>
          </cell>
          <cell r="F283">
            <v>7.0213769619457231E-2</v>
          </cell>
          <cell r="G283">
            <v>0.12539044481363476</v>
          </cell>
          <cell r="H283">
            <v>0.14819822077939845</v>
          </cell>
          <cell r="I283">
            <v>0.14361918901163503</v>
          </cell>
          <cell r="J283"/>
          <cell r="K283"/>
        </row>
        <row r="284">
          <cell r="A284" t="str">
            <v>RHNM-SHWODBR</v>
          </cell>
          <cell r="B284" t="str">
            <v>VAR_fin</v>
          </cell>
          <cell r="C284" t="str">
            <v>RHNMWODBRC</v>
          </cell>
          <cell r="D284"/>
          <cell r="E284">
            <v>8.114423454360209E-2</v>
          </cell>
          <cell r="F284">
            <v>7.0213769619457231E-2</v>
          </cell>
          <cell r="G284">
            <v>0.12539044481363476</v>
          </cell>
          <cell r="H284">
            <v>0.14819822077939845</v>
          </cell>
          <cell r="I284">
            <v>0.14361918901163503</v>
          </cell>
          <cell r="J284"/>
          <cell r="K284"/>
        </row>
        <row r="285">
          <cell r="A285" t="str">
            <v>RHNM-SHWODBR</v>
          </cell>
          <cell r="B285" t="str">
            <v>VAR_fin</v>
          </cell>
          <cell r="C285" t="str">
            <v>RWOD</v>
          </cell>
          <cell r="D285"/>
          <cell r="E285">
            <v>0.11270032575500294</v>
          </cell>
          <cell r="F285">
            <v>9.4605565923045448E-2</v>
          </cell>
          <cell r="G285">
            <v>0.16657653360136374</v>
          </cell>
          <cell r="H285">
            <v>0.19513314296136594</v>
          </cell>
          <cell r="I285">
            <v>0.18910391497290283</v>
          </cell>
          <cell r="J285"/>
          <cell r="K285"/>
        </row>
        <row r="286">
          <cell r="A286" t="str">
            <v>RHNM-SHWODBR</v>
          </cell>
          <cell r="B286" t="str">
            <v>VAR_ncap</v>
          </cell>
          <cell r="C286" t="str">
            <v>-</v>
          </cell>
          <cell r="D286"/>
          <cell r="E286">
            <v>6.3210113792261796E-3</v>
          </cell>
          <cell r="F286">
            <v>3.4332048038420498E-3</v>
          </cell>
          <cell r="G286"/>
          <cell r="H286"/>
          <cell r="I286"/>
          <cell r="J286"/>
        </row>
        <row r="287">
          <cell r="A287" t="str">
            <v>RHNM-SHWODBR</v>
          </cell>
          <cell r="B287" t="str">
            <v>VAR_cap</v>
          </cell>
          <cell r="C287" t="str">
            <v>-</v>
          </cell>
          <cell r="D287"/>
          <cell r="E287">
            <v>6.3210113792261796E-3</v>
          </cell>
          <cell r="F287">
            <v>9.7538010822809992E-3</v>
          </cell>
          <cell r="G287">
            <v>9.7539947167538093E-3</v>
          </cell>
          <cell r="H287">
            <v>2.6413909071848977E-2</v>
          </cell>
          <cell r="I287">
            <v>1.1153823481876856E-2</v>
          </cell>
          <cell r="J287"/>
          <cell r="K287"/>
        </row>
        <row r="288">
          <cell r="A288" t="str">
            <v>RHNS-SHDEM</v>
          </cell>
          <cell r="B288" t="str">
            <v>VAR_fout</v>
          </cell>
          <cell r="C288" t="str">
            <v>RHNS-SHD</v>
          </cell>
          <cell r="D288"/>
          <cell r="E288">
            <v>0.40468474157116097</v>
          </cell>
          <cell r="F288">
            <v>1.3776070220921508</v>
          </cell>
          <cell r="G288">
            <v>2.6285423667250201</v>
          </cell>
          <cell r="H288">
            <v>3.9800501355040065</v>
          </cell>
          <cell r="I288">
            <v>4.7287858874836983</v>
          </cell>
          <cell r="J288"/>
        </row>
        <row r="289">
          <cell r="A289" t="str">
            <v>RHNS-SHDEM</v>
          </cell>
          <cell r="B289" t="str">
            <v>VAR_fin</v>
          </cell>
          <cell r="C289" t="str">
            <v>RHNS-SHLTHC-WOD</v>
          </cell>
          <cell r="D289"/>
          <cell r="E289">
            <v>1.2051130448233646E-5</v>
          </cell>
          <cell r="F289">
            <v>3.7860402484554196E-5</v>
          </cell>
          <cell r="G289"/>
          <cell r="H289">
            <v>1.7345587105685314E-5</v>
          </cell>
          <cell r="I289"/>
          <cell r="J289"/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RHNS-SHLFO</v>
          </cell>
          <cell r="D290"/>
          <cell r="E290">
            <v>1.6317506893698681E-4</v>
          </cell>
          <cell r="F290">
            <v>1.5231249812311679E-2</v>
          </cell>
          <cell r="G290">
            <v>2.2495252708751648E-2</v>
          </cell>
          <cell r="H290">
            <v>1.8267689521549706E-2</v>
          </cell>
          <cell r="I290"/>
          <cell r="J290"/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RHNS-SHNGAH</v>
          </cell>
          <cell r="D291"/>
          <cell r="E291">
            <v>5.998789644718008E-6</v>
          </cell>
          <cell r="F291">
            <v>0.18704495454556139</v>
          </cell>
          <cell r="G291">
            <v>0.52250701463212423</v>
          </cell>
          <cell r="H291">
            <v>0.91440587672117069</v>
          </cell>
          <cell r="I291">
            <v>1.0800163109682206</v>
          </cell>
          <cell r="J291"/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RHNS-SHCON</v>
          </cell>
          <cell r="D292"/>
          <cell r="E292"/>
          <cell r="F292">
            <v>6.841862471191442E-4</v>
          </cell>
          <cell r="G292">
            <v>6.5807719328675148E-4</v>
          </cell>
          <cell r="H292">
            <v>2.1798041507470672E-3</v>
          </cell>
          <cell r="I292">
            <v>2.1620799521554659E-3</v>
          </cell>
          <cell r="J292"/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RHNS-SHWOD</v>
          </cell>
          <cell r="D293"/>
          <cell r="E293">
            <v>2.647935626349451E-2</v>
          </cell>
          <cell r="F293">
            <v>2.6436855383292129E-2</v>
          </cell>
          <cell r="G293">
            <v>8.7606129284262743E-2</v>
          </cell>
          <cell r="H293">
            <v>9.6744501281582101E-2</v>
          </cell>
          <cell r="I293">
            <v>0.1014580561102624</v>
          </cell>
          <cell r="J293"/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RHNS-SHNST</v>
          </cell>
          <cell r="D294"/>
          <cell r="E294">
            <v>3.0428200844815819E-5</v>
          </cell>
          <cell r="F294">
            <v>6.2464455030357568E-5</v>
          </cell>
          <cell r="G294">
            <v>1.1065435218317684E-4</v>
          </cell>
          <cell r="H294">
            <v>1.1950580758928472E-5</v>
          </cell>
          <cell r="I294">
            <v>9.9931459944565266E-5</v>
          </cell>
          <cell r="J294"/>
          <cell r="K294"/>
        </row>
        <row r="295">
          <cell r="A295" t="str">
            <v>RHNS-SHDEM</v>
          </cell>
          <cell r="B295" t="str">
            <v>VAR_fin</v>
          </cell>
          <cell r="C295" t="str">
            <v>RHNS-SHPLT</v>
          </cell>
          <cell r="D295"/>
          <cell r="E295">
            <v>3.8601836104476654E-5</v>
          </cell>
          <cell r="F295">
            <v>1.6692451484414171E-3</v>
          </cell>
          <cell r="G295">
            <v>1.2787650264126565E-2</v>
          </cell>
          <cell r="H295">
            <v>1.4144502753437035E-2</v>
          </cell>
          <cell r="I295">
            <v>1.6811960398060884E-2</v>
          </cell>
          <cell r="J295"/>
          <cell r="K295"/>
        </row>
        <row r="296">
          <cell r="A296" t="str">
            <v>RHNS-SHDEM</v>
          </cell>
          <cell r="B296" t="str">
            <v>VAR_fin</v>
          </cell>
          <cell r="C296" t="str">
            <v>RHNS-SHLTHD</v>
          </cell>
          <cell r="D296"/>
          <cell r="E296">
            <v>5.3894196819437294E-2</v>
          </cell>
          <cell r="F296">
            <v>2.7829010411840145E-3</v>
          </cell>
          <cell r="G296">
            <v>0.10238962449810955</v>
          </cell>
          <cell r="H296">
            <v>0.11145971115913063</v>
          </cell>
          <cell r="I296">
            <v>0.12133793373869205</v>
          </cell>
          <cell r="J296"/>
          <cell r="K296"/>
        </row>
        <row r="297">
          <cell r="A297" t="str">
            <v>RHNS-SHDEM</v>
          </cell>
          <cell r="B297" t="str">
            <v>VAR_fin</v>
          </cell>
          <cell r="C297" t="str">
            <v>RHNS-SHELCB</v>
          </cell>
          <cell r="D297"/>
          <cell r="E297">
            <v>6.8928126801490769E-2</v>
          </cell>
          <cell r="F297">
            <v>4.3746150288953055E-3</v>
          </cell>
          <cell r="G297">
            <v>9.0418082694651968E-3</v>
          </cell>
          <cell r="H297">
            <v>9.131016774552015E-3</v>
          </cell>
          <cell r="I297">
            <v>7.9263752915513467E-3</v>
          </cell>
          <cell r="J297"/>
          <cell r="K297"/>
        </row>
        <row r="298">
          <cell r="A298" t="str">
            <v>RHNS-SHDEM</v>
          </cell>
          <cell r="B298" t="str">
            <v>VAR_fin</v>
          </cell>
          <cell r="C298" t="str">
            <v>RHNS-SHELCH</v>
          </cell>
          <cell r="D298"/>
          <cell r="E298">
            <v>0.13900198995548679</v>
          </cell>
          <cell r="F298">
            <v>1.1033178994335511</v>
          </cell>
          <cell r="G298">
            <v>1.8212755672121375</v>
          </cell>
          <cell r="H298">
            <v>2.7619917163568339</v>
          </cell>
          <cell r="I298">
            <v>3.3663481120137986</v>
          </cell>
          <cell r="J298"/>
          <cell r="K298"/>
        </row>
        <row r="299">
          <cell r="A299" t="str">
            <v>RHNS-SHDEM</v>
          </cell>
          <cell r="B299" t="str">
            <v>VAR_fin</v>
          </cell>
          <cell r="C299" t="str">
            <v>RHNS-SHSOL</v>
          </cell>
          <cell r="D299"/>
          <cell r="E299">
            <v>1.3331923470879092E-2</v>
          </cell>
          <cell r="F299">
            <v>2.0030649122101252E-4</v>
          </cell>
          <cell r="G299">
            <v>7.0905985199733635E-4</v>
          </cell>
          <cell r="H299">
            <v>7.8296422061232087E-4</v>
          </cell>
          <cell r="I299">
            <v>1.2495608887598715E-3</v>
          </cell>
          <cell r="J299"/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RHNS-SHLTHC-NGA</v>
          </cell>
          <cell r="D300"/>
          <cell r="E300">
            <v>9.2377795133900397E-4</v>
          </cell>
          <cell r="F300"/>
          <cell r="G300"/>
          <cell r="H300">
            <v>9.0402484839991512E-5</v>
          </cell>
          <cell r="I300"/>
          <cell r="J300"/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RHNS-SHNGA</v>
          </cell>
          <cell r="D301"/>
          <cell r="E301">
            <v>0.10200121022811751</v>
          </cell>
          <cell r="F301">
            <v>3.6032293053619463E-2</v>
          </cell>
          <cell r="G301">
            <v>4.9174351936732807E-2</v>
          </cell>
          <cell r="H301">
            <v>5.1013181418982777E-2</v>
          </cell>
          <cell r="I301">
            <v>3.1524245422568369E-2</v>
          </cell>
          <cell r="J301"/>
          <cell r="K301"/>
        </row>
        <row r="302">
          <cell r="A302" t="str">
            <v>RES-ELCSPEC</v>
          </cell>
          <cell r="B302" t="str">
            <v>VAR_fout</v>
          </cell>
          <cell r="C302" t="str">
            <v>RHSA-ELS</v>
          </cell>
          <cell r="D302">
            <v>44.576907376938124</v>
          </cell>
          <cell r="E302">
            <v>44.861183619405402</v>
          </cell>
          <cell r="F302">
            <v>49.522210424845234</v>
          </cell>
          <cell r="G302">
            <v>40.719956827383442</v>
          </cell>
          <cell r="H302">
            <v>32.119499036215281</v>
          </cell>
          <cell r="I302">
            <v>22.342593561357607</v>
          </cell>
          <cell r="J302"/>
          <cell r="K302"/>
        </row>
        <row r="303">
          <cell r="A303" t="str">
            <v>RES-ELCSPEC</v>
          </cell>
          <cell r="B303" t="str">
            <v>VAR_fin</v>
          </cell>
          <cell r="C303" t="str">
            <v>RHSA_ELC</v>
          </cell>
          <cell r="D303">
            <v>44.576907376938124</v>
          </cell>
          <cell r="E303">
            <v>44.861183619405402</v>
          </cell>
          <cell r="F303">
            <v>49.522210424845234</v>
          </cell>
          <cell r="G303">
            <v>40.719956827383442</v>
          </cell>
          <cell r="H303">
            <v>32.119499036215281</v>
          </cell>
          <cell r="I303">
            <v>22.342593561357607</v>
          </cell>
          <cell r="J303"/>
          <cell r="K303"/>
        </row>
        <row r="304">
          <cell r="A304" t="str">
            <v>RES-ELCSPEC</v>
          </cell>
          <cell r="B304" t="str">
            <v>VAR_ncap</v>
          </cell>
          <cell r="C304" t="str">
            <v>-</v>
          </cell>
          <cell r="D304">
            <v>0.193212343028171</v>
          </cell>
          <cell r="E304">
            <v>4.5244443125870998E-6</v>
          </cell>
          <cell r="F304">
            <v>0.47620633228140402</v>
          </cell>
          <cell r="G304">
            <v>8.2823337229093295E-7</v>
          </cell>
          <cell r="H304">
            <v>7.8752249057397899E-7</v>
          </cell>
          <cell r="I304">
            <v>1.8929355365395599</v>
          </cell>
          <cell r="J304"/>
          <cell r="K304"/>
        </row>
        <row r="305">
          <cell r="A305" t="str">
            <v>RES-ELCSPEC</v>
          </cell>
          <cell r="B305" t="str">
            <v>VAR_cap</v>
          </cell>
          <cell r="C305" t="str">
            <v>-</v>
          </cell>
          <cell r="D305">
            <v>4.7117490271586409</v>
          </cell>
          <cell r="E305">
            <v>4.7423714089555142</v>
          </cell>
          <cell r="F305">
            <v>5.2344633702581724</v>
          </cell>
          <cell r="G305">
            <v>4.3040735796071603</v>
          </cell>
          <cell r="H305">
            <v>3.3950163343763715</v>
          </cell>
          <cell r="I305">
            <v>2.3615968353085242</v>
          </cell>
          <cell r="J305"/>
        </row>
        <row r="306">
          <cell r="A306" t="str">
            <v>SCOM-SHCONBR1</v>
          </cell>
          <cell r="B306" t="str">
            <v>VAR_fout</v>
          </cell>
          <cell r="C306" t="str">
            <v>SCOM-SHCON</v>
          </cell>
          <cell r="D306"/>
          <cell r="E306">
            <v>1.5198051830492145</v>
          </cell>
          <cell r="F306">
            <v>0.5017224486830365</v>
          </cell>
          <cell r="G306">
            <v>0.99799310554523979</v>
          </cell>
          <cell r="H306">
            <v>2.6177865553033182</v>
          </cell>
          <cell r="I306">
            <v>2.6177994006973613</v>
          </cell>
          <cell r="J306"/>
          <cell r="K306"/>
        </row>
        <row r="307">
          <cell r="A307" t="str">
            <v>SCOM-SHCONBR1</v>
          </cell>
          <cell r="B307" t="str">
            <v>VAR_fin</v>
          </cell>
          <cell r="C307" t="str">
            <v>CON</v>
          </cell>
          <cell r="D307"/>
          <cell r="E307">
            <v>1.5198051830492145</v>
          </cell>
          <cell r="F307">
            <v>0.5017224486830365</v>
          </cell>
          <cell r="G307">
            <v>0.99799310554523979</v>
          </cell>
          <cell r="H307">
            <v>2.6177865553033182</v>
          </cell>
          <cell r="I307">
            <v>2.6177994006973613</v>
          </cell>
          <cell r="J307"/>
        </row>
        <row r="308">
          <cell r="A308" t="str">
            <v>SCOM-SHCONBR1</v>
          </cell>
          <cell r="B308" t="str">
            <v>VAR_ncap</v>
          </cell>
          <cell r="C308" t="str">
            <v>-</v>
          </cell>
          <cell r="D308"/>
          <cell r="E308">
            <v>0.117431551008031</v>
          </cell>
          <cell r="F308">
            <v>1.5021974578107299E-7</v>
          </cell>
          <cell r="G308">
            <v>8.4057515328325599E-7</v>
          </cell>
          <cell r="H308">
            <v>9.4254420109405004E-2</v>
          </cell>
          <cell r="I308">
            <v>5.8747180474272402E-2</v>
          </cell>
          <cell r="J308"/>
          <cell r="K308"/>
        </row>
        <row r="309">
          <cell r="A309" t="str">
            <v>SCOM-SHCONBR1</v>
          </cell>
          <cell r="B309" t="str">
            <v>VAR_cap</v>
          </cell>
          <cell r="C309" t="str">
            <v>-</v>
          </cell>
          <cell r="D309"/>
          <cell r="E309">
            <v>0.117431551008031</v>
          </cell>
          <cell r="F309">
            <v>0.11743129494840635</v>
          </cell>
          <cell r="G309">
            <v>0.11743205571496222</v>
          </cell>
          <cell r="H309">
            <v>0.21239815133089557</v>
          </cell>
          <cell r="I309">
            <v>0.22160112079129712</v>
          </cell>
          <cell r="J309"/>
          <cell r="K309"/>
        </row>
        <row r="310">
          <cell r="A310" t="str">
            <v>RHSA-WHSTG-SOL</v>
          </cell>
          <cell r="B310" t="str">
            <v>VAR_fout</v>
          </cell>
          <cell r="C310" t="str">
            <v>RHSA-WHASOL</v>
          </cell>
          <cell r="D310">
            <v>2.0863250369105243E-5</v>
          </cell>
          <cell r="E310">
            <v>4.0175374146327044E-6</v>
          </cell>
          <cell r="F310">
            <v>7.9464164106954165E-3</v>
          </cell>
          <cell r="G310">
            <v>0.12795574919458172</v>
          </cell>
          <cell r="H310">
            <v>0.43059062161873085</v>
          </cell>
          <cell r="I310">
            <v>0.48710431685919597</v>
          </cell>
          <cell r="J310"/>
          <cell r="K310"/>
        </row>
        <row r="311">
          <cell r="A311" t="str">
            <v>RHSA-WHSTG-SOL</v>
          </cell>
          <cell r="B311" t="str">
            <v>VAR_fin</v>
          </cell>
          <cell r="C311" t="str">
            <v>RHSA-WHASOL</v>
          </cell>
          <cell r="D311">
            <v>6.2761307855751766E-7</v>
          </cell>
          <cell r="E311">
            <v>3.0683082363470777E-5</v>
          </cell>
          <cell r="F311">
            <v>7.9721190287107488E-3</v>
          </cell>
          <cell r="G311">
            <v>0.1279842550738424</v>
          </cell>
          <cell r="H311">
            <v>0.4306184264046331</v>
          </cell>
          <cell r="I311">
            <v>0.48713929510559956</v>
          </cell>
          <cell r="J311"/>
        </row>
        <row r="312">
          <cell r="A312" t="str">
            <v>RHSA-WHSTG-SOL</v>
          </cell>
          <cell r="B312" t="str">
            <v>VAR_ncap</v>
          </cell>
          <cell r="C312" t="str">
            <v>-</v>
          </cell>
          <cell r="D312">
            <v>3.9428675128936304E-3</v>
          </cell>
          <cell r="E312">
            <v>7.4296222025187403E-2</v>
          </cell>
          <cell r="F312">
            <v>1.9906931352924201E-7</v>
          </cell>
          <cell r="G312">
            <v>5.3067783139242804E-7</v>
          </cell>
          <cell r="H312">
            <v>6.5468963403232994E-2</v>
          </cell>
          <cell r="I312">
            <v>5.6174242713959599E-2</v>
          </cell>
          <cell r="J312"/>
        </row>
        <row r="313">
          <cell r="A313" t="str">
            <v>RHSA-WHSTG-SOL</v>
          </cell>
          <cell r="B313" t="str">
            <v>VAR_cap</v>
          </cell>
          <cell r="C313" t="str">
            <v>-</v>
          </cell>
          <cell r="D313">
            <v>3.9439300658572268E-3</v>
          </cell>
          <cell r="E313">
            <v>7.8240152091044596E-2</v>
          </cell>
          <cell r="F313">
            <v>7.8240351160358101E-2</v>
          </cell>
          <cell r="G313">
            <v>7.8240881838189502E-2</v>
          </cell>
          <cell r="H313">
            <v>0.11183410670838401</v>
          </cell>
          <cell r="I313">
            <v>0.123299303628741</v>
          </cell>
          <cell r="J313"/>
          <cell r="K313"/>
        </row>
        <row r="314">
          <cell r="A314" t="str">
            <v>SCOM-SHCONBR2</v>
          </cell>
          <cell r="B314" t="str">
            <v>VAR_fout</v>
          </cell>
          <cell r="C314" t="str">
            <v>SCOM-SHCON</v>
          </cell>
          <cell r="D314"/>
          <cell r="E314">
            <v>2.3670966043029842</v>
          </cell>
          <cell r="F314">
            <v>0.7747102120240007</v>
          </cell>
          <cell r="G314">
            <v>1.606220194393609</v>
          </cell>
          <cell r="H314">
            <v>3.3088613556162665</v>
          </cell>
          <cell r="I314">
            <v>4.0772755438129762</v>
          </cell>
          <cell r="J314"/>
        </row>
        <row r="315">
          <cell r="A315" t="str">
            <v>SCOM-SHCONBR2</v>
          </cell>
          <cell r="B315" t="str">
            <v>VAR_fin</v>
          </cell>
          <cell r="C315" t="str">
            <v>CON</v>
          </cell>
          <cell r="D315"/>
          <cell r="E315">
            <v>2.3670966043029842</v>
          </cell>
          <cell r="F315">
            <v>0.7747102120240007</v>
          </cell>
          <cell r="G315">
            <v>1.606220194393609</v>
          </cell>
          <cell r="H315">
            <v>3.3088613556162665</v>
          </cell>
          <cell r="I315">
            <v>4.0772755438129762</v>
          </cell>
          <cell r="J315"/>
        </row>
        <row r="316">
          <cell r="A316" t="str">
            <v>SCOM-SHCONBR2</v>
          </cell>
          <cell r="B316" t="str">
            <v>VAR_ncap</v>
          </cell>
          <cell r="C316" t="str">
            <v>-</v>
          </cell>
          <cell r="D316"/>
          <cell r="E316">
            <v>0.18290210202214699</v>
          </cell>
          <cell r="F316">
            <v>1.3025420916577799E-7</v>
          </cell>
          <cell r="G316">
            <v>6.6735267339016795E-7</v>
          </cell>
          <cell r="H316">
            <v>7.8917216382723698E-2</v>
          </cell>
          <cell r="I316">
            <v>0.15076982151519</v>
          </cell>
          <cell r="J316"/>
          <cell r="K316"/>
        </row>
        <row r="317">
          <cell r="A317" t="str">
            <v>SCOM-SHCONBR2</v>
          </cell>
          <cell r="B317" t="str">
            <v>VAR_cap</v>
          </cell>
          <cell r="C317" t="str">
            <v>-</v>
          </cell>
          <cell r="D317"/>
          <cell r="E317">
            <v>0.18290210202214699</v>
          </cell>
          <cell r="F317">
            <v>0.1829018188672959</v>
          </cell>
          <cell r="G317">
            <v>0.18290240779808753</v>
          </cell>
          <cell r="H317">
            <v>0.26182417158015553</v>
          </cell>
          <cell r="I317">
            <v>0.33542782766488177</v>
          </cell>
          <cell r="J317"/>
          <cell r="K317"/>
          <cell r="L317"/>
          <cell r="M317"/>
        </row>
        <row r="318">
          <cell r="A318" t="str">
            <v>SCOM-SHCONBR3</v>
          </cell>
          <cell r="B318" t="str">
            <v>VAR_fout</v>
          </cell>
          <cell r="C318" t="str">
            <v>SCOM-SHCON</v>
          </cell>
          <cell r="D318"/>
          <cell r="E318">
            <v>1.9020603903310944</v>
          </cell>
          <cell r="F318">
            <v>0.6238149858841664</v>
          </cell>
          <cell r="G318">
            <v>1.2745186309206542</v>
          </cell>
          <cell r="H318">
            <v>1.8584676629376624</v>
          </cell>
          <cell r="I318">
            <v>3.2762398568830453</v>
          </cell>
          <cell r="J318"/>
          <cell r="K318"/>
        </row>
        <row r="319">
          <cell r="A319" t="str">
            <v>SCOM-SHCONBR3</v>
          </cell>
          <cell r="B319" t="str">
            <v>VAR_fin</v>
          </cell>
          <cell r="C319" t="str">
            <v>CON</v>
          </cell>
          <cell r="D319"/>
          <cell r="E319">
            <v>1.9020603903310944</v>
          </cell>
          <cell r="F319">
            <v>0.6238149858841664</v>
          </cell>
          <cell r="G319">
            <v>1.2745186309206542</v>
          </cell>
          <cell r="H319">
            <v>1.8584676629376624</v>
          </cell>
          <cell r="I319">
            <v>3.2762398568830453</v>
          </cell>
          <cell r="J319"/>
        </row>
        <row r="320">
          <cell r="A320" t="str">
            <v>SCOM-SHCONBR3</v>
          </cell>
          <cell r="B320" t="str">
            <v>VAR_ncap</v>
          </cell>
          <cell r="C320" t="str">
            <v>-</v>
          </cell>
          <cell r="E320">
            <v>0.14696854739186199</v>
          </cell>
          <cell r="F320">
            <v>5.0081803154003201E-8</v>
          </cell>
          <cell r="G320">
            <v>1.02652541090427E-7</v>
          </cell>
          <cell r="H320">
            <v>1.74255285527083E-7</v>
          </cell>
          <cell r="I320">
            <v>0.16820469697422499</v>
          </cell>
          <cell r="J320"/>
        </row>
        <row r="321">
          <cell r="A321" t="str">
            <v>SCOM-SHCONBR3</v>
          </cell>
          <cell r="B321" t="str">
            <v>VAR_cap</v>
          </cell>
          <cell r="C321" t="str">
            <v>-</v>
          </cell>
          <cell r="D321"/>
          <cell r="E321">
            <v>0.14696854739186199</v>
          </cell>
          <cell r="F321">
            <v>0.14696818832253289</v>
          </cell>
          <cell r="G321">
            <v>0.14696821569308446</v>
          </cell>
          <cell r="H321">
            <v>0.14696885595500792</v>
          </cell>
          <cell r="I321">
            <v>0.25316775846856698</v>
          </cell>
          <cell r="J321"/>
          <cell r="K321"/>
        </row>
        <row r="322">
          <cell r="A322" t="str">
            <v>SCOM-SHCONBR4</v>
          </cell>
          <cell r="B322" t="str">
            <v>VAR_fout</v>
          </cell>
          <cell r="C322" t="str">
            <v>SCOM-SHCON</v>
          </cell>
          <cell r="D322"/>
          <cell r="E322">
            <v>0.52292284608783135</v>
          </cell>
          <cell r="F322">
            <v>0.18679506723515427</v>
          </cell>
          <cell r="G322">
            <v>0.31347249056240656</v>
          </cell>
          <cell r="H322">
            <v>0.51169162074763519</v>
          </cell>
          <cell r="I322">
            <v>2.6361731694089898</v>
          </cell>
          <cell r="J322"/>
          <cell r="K322"/>
        </row>
        <row r="323">
          <cell r="A323" t="str">
            <v>SCOM-SHCONBR4</v>
          </cell>
          <cell r="B323" t="str">
            <v>VAR_fin</v>
          </cell>
          <cell r="C323" t="str">
            <v>CON</v>
          </cell>
          <cell r="D323"/>
          <cell r="E323">
            <v>0.52292284608783135</v>
          </cell>
          <cell r="F323">
            <v>0.18679506723515427</v>
          </cell>
          <cell r="G323">
            <v>0.31347249056240656</v>
          </cell>
          <cell r="H323">
            <v>0.51169162074763519</v>
          </cell>
          <cell r="I323">
            <v>2.6361731694089898</v>
          </cell>
          <cell r="J323"/>
        </row>
        <row r="324">
          <cell r="A324" t="str">
            <v>SCOM-SHCONBR4</v>
          </cell>
          <cell r="B324" t="str">
            <v>VAR_ncap</v>
          </cell>
          <cell r="C324" t="str">
            <v>-</v>
          </cell>
          <cell r="D324"/>
          <cell r="E324">
            <v>4.0402031470783098E-2</v>
          </cell>
          <cell r="F324">
            <v>4.1252171998498303E-8</v>
          </cell>
          <cell r="G324">
            <v>7.5036336230848903E-8</v>
          </cell>
          <cell r="H324">
            <v>1.2885763749362699E-7</v>
          </cell>
          <cell r="I324">
            <v>0.180345307063246</v>
          </cell>
          <cell r="J324"/>
        </row>
        <row r="325">
          <cell r="A325" t="str">
            <v>SCOM-SHCONBR4</v>
          </cell>
          <cell r="B325" t="str">
            <v>VAR_cap</v>
          </cell>
          <cell r="C325" t="str">
            <v>-</v>
          </cell>
          <cell r="D325"/>
          <cell r="E325">
            <v>4.0402031470783098E-2</v>
          </cell>
          <cell r="F325">
            <v>4.0401690879383619E-2</v>
          </cell>
          <cell r="G325">
            <v>4.0401686659165222E-2</v>
          </cell>
          <cell r="H325">
            <v>4.0402217146820608E-2</v>
          </cell>
          <cell r="I325">
            <v>0.20370203980648888</v>
          </cell>
          <cell r="J325"/>
        </row>
        <row r="326">
          <cell r="A326" t="str">
            <v>RHEM-SHNGABR</v>
          </cell>
          <cell r="B326" t="str">
            <v>VAR_fout</v>
          </cell>
          <cell r="C326" t="str">
            <v>CO2_R</v>
          </cell>
          <cell r="D326">
            <v>1127.96347751147</v>
          </cell>
          <cell r="E326">
            <v>1124.7003035165401</v>
          </cell>
          <cell r="F326">
            <v>1269.19603895879</v>
          </cell>
          <cell r="G326">
            <v>877.57301065176398</v>
          </cell>
          <cell r="H326">
            <v>191.433030926425</v>
          </cell>
          <cell r="I326">
            <v>61.467540156845601</v>
          </cell>
          <cell r="J326"/>
          <cell r="K326"/>
        </row>
        <row r="327">
          <cell r="A327" t="str">
            <v>RHEM-SHNGABR</v>
          </cell>
          <cell r="B327" t="str">
            <v>VAR_fout</v>
          </cell>
          <cell r="C327" t="str">
            <v>RHEM-SHNGA</v>
          </cell>
          <cell r="D327">
            <v>18.999384816239264</v>
          </cell>
          <cell r="E327">
            <v>18.944420006041</v>
          </cell>
          <cell r="F327">
            <v>21.220050918875579</v>
          </cell>
          <cell r="G327">
            <v>14.672393703921825</v>
          </cell>
          <cell r="H327">
            <v>3.2006234963874993</v>
          </cell>
          <cell r="I327">
            <v>1.0276933522864953</v>
          </cell>
          <cell r="J327"/>
          <cell r="K327"/>
        </row>
        <row r="328">
          <cell r="A328" t="str">
            <v>RHEM-SHNGABR</v>
          </cell>
          <cell r="B328" t="str">
            <v>VAR_fin</v>
          </cell>
          <cell r="C328" t="str">
            <v>RNGA</v>
          </cell>
          <cell r="D328">
            <v>19.999352438146609</v>
          </cell>
          <cell r="E328">
            <v>19.941494743201059</v>
          </cell>
          <cell r="F328">
            <v>22.50347586806356</v>
          </cell>
          <cell r="G328">
            <v>15.559805153400072</v>
          </cell>
          <cell r="H328">
            <v>3.3942026760004493</v>
          </cell>
          <cell r="I328">
            <v>1.089850002780951</v>
          </cell>
          <cell r="J328"/>
        </row>
        <row r="329">
          <cell r="A329" t="str">
            <v>RHEM-SHNGABR</v>
          </cell>
          <cell r="B329" t="str">
            <v>VAR_ncap</v>
          </cell>
          <cell r="C329" t="str">
            <v>-</v>
          </cell>
          <cell r="D329"/>
          <cell r="E329">
            <v>6.3471490526802101E-6</v>
          </cell>
          <cell r="F329">
            <v>0.151598596277665</v>
          </cell>
          <cell r="G329">
            <v>2.15242520927805E-7</v>
          </cell>
          <cell r="H329">
            <v>8.1729607680662897E-2</v>
          </cell>
          <cell r="I329">
            <v>1.1485791676808199E-7</v>
          </cell>
          <cell r="J329"/>
          <cell r="K329"/>
        </row>
        <row r="330">
          <cell r="A330" t="str">
            <v>RHEM-SHNGABR</v>
          </cell>
          <cell r="B330" t="str">
            <v>VAR_cap</v>
          </cell>
          <cell r="C330" t="str">
            <v>-</v>
          </cell>
          <cell r="D330">
            <v>1.34683498965227</v>
          </cell>
          <cell r="E330">
            <v>1.3468410997768494</v>
          </cell>
          <cell r="F330">
            <v>1.4984397450386897</v>
          </cell>
          <cell r="G330">
            <v>1.4983969772476358</v>
          </cell>
          <cell r="H330">
            <v>0.22608690809641371</v>
          </cell>
          <cell r="I330">
            <v>0.10900805335762372</v>
          </cell>
          <cell r="J330"/>
          <cell r="K330"/>
        </row>
        <row r="331">
          <cell r="A331" t="str">
            <v>SCOM-SHCONBR5</v>
          </cell>
          <cell r="B331" t="str">
            <v>VAR_fout</v>
          </cell>
          <cell r="C331" t="str">
            <v>SCOM-SHCON</v>
          </cell>
          <cell r="D331"/>
          <cell r="E331">
            <v>0.65265132715181018</v>
          </cell>
          <cell r="F331">
            <v>0.22838456353247411</v>
          </cell>
          <cell r="G331">
            <v>0.39988686025005887</v>
          </cell>
          <cell r="H331">
            <v>0.63850836920517917</v>
          </cell>
          <cell r="I331">
            <v>0.37723102808194664</v>
          </cell>
          <cell r="J331"/>
        </row>
        <row r="332">
          <cell r="A332" t="str">
            <v>SCOM-SHCONBR5</v>
          </cell>
          <cell r="B332" t="str">
            <v>VAR_fin</v>
          </cell>
          <cell r="C332" t="str">
            <v>CON</v>
          </cell>
          <cell r="D332"/>
          <cell r="E332">
            <v>0.65265132715181018</v>
          </cell>
          <cell r="F332">
            <v>0.22838456353247411</v>
          </cell>
          <cell r="G332">
            <v>0.39988686025005887</v>
          </cell>
          <cell r="H332">
            <v>0.63850836920517917</v>
          </cell>
          <cell r="I332">
            <v>0.37723102808194664</v>
          </cell>
          <cell r="J332"/>
          <cell r="K332"/>
        </row>
        <row r="333">
          <cell r="A333" t="str">
            <v>SCOM-SHCONBR5</v>
          </cell>
          <cell r="B333" t="str">
            <v>VAR_ncap</v>
          </cell>
          <cell r="C333" t="str">
            <v>-</v>
          </cell>
          <cell r="D333"/>
          <cell r="E333">
            <v>5.0426201031938997E-2</v>
          </cell>
          <cell r="F333">
            <v>3.52059013028091E-8</v>
          </cell>
          <cell r="G333">
            <v>5.9990638995474606E-8</v>
          </cell>
          <cell r="H333">
            <v>1.0010574007842601E-7</v>
          </cell>
          <cell r="I333">
            <v>7.7732455594146302E-7</v>
          </cell>
          <cell r="J333"/>
          <cell r="K333"/>
        </row>
        <row r="334">
          <cell r="A334" t="str">
            <v>SCOM-SHCONBR5</v>
          </cell>
          <cell r="B334" t="str">
            <v>VAR_cap</v>
          </cell>
          <cell r="C334" t="str">
            <v>-</v>
          </cell>
          <cell r="D334"/>
          <cell r="E334">
            <v>5.0426201031938997E-2</v>
          </cell>
          <cell r="F334">
            <v>5.0425848973012034E-2</v>
          </cell>
          <cell r="G334">
            <v>5.042583095837614E-2</v>
          </cell>
          <cell r="H334">
            <v>5.0426314398654117E-2</v>
          </cell>
          <cell r="I334">
            <v>2.9152422203353377E-2</v>
          </cell>
          <cell r="J334"/>
          <cell r="K334"/>
        </row>
        <row r="335">
          <cell r="A335" t="str">
            <v>RHES-SHSTG-ELCHP</v>
          </cell>
          <cell r="B335" t="str">
            <v>VAR_fout</v>
          </cell>
          <cell r="C335" t="str">
            <v>RHES-SHAELCH</v>
          </cell>
          <cell r="D335">
            <v>5.6272741716639079E-7</v>
          </cell>
          <cell r="E335">
            <v>8.902126006733132E-7</v>
          </cell>
          <cell r="F335">
            <v>0.22092670058366895</v>
          </cell>
          <cell r="G335">
            <v>1.1184143988904696</v>
          </cell>
          <cell r="H335">
            <v>1.2457717650548052</v>
          </cell>
          <cell r="I335">
            <v>1.3142422546005257</v>
          </cell>
          <cell r="J335"/>
          <cell r="K335"/>
        </row>
        <row r="336">
          <cell r="A336" t="str">
            <v>RHES-SHSTG-ELCHP</v>
          </cell>
          <cell r="B336" t="str">
            <v>VAR_fin</v>
          </cell>
          <cell r="C336" t="str">
            <v>RHES-SHAELCH</v>
          </cell>
          <cell r="D336">
            <v>1.9501503968215411E-5</v>
          </cell>
          <cell r="E336">
            <v>1.5935470701032522E-5</v>
          </cell>
          <cell r="F336">
            <v>0.22093499149239332</v>
          </cell>
          <cell r="G336">
            <v>1.1184339814712543</v>
          </cell>
          <cell r="H336">
            <v>1.2457948621669814</v>
          </cell>
          <cell r="I336">
            <v>1.3142765839727573</v>
          </cell>
          <cell r="J336"/>
          <cell r="K336"/>
        </row>
        <row r="337">
          <cell r="A337" t="str">
            <v>RHES-SHSTG-ELCHP</v>
          </cell>
          <cell r="B337" t="str">
            <v>VAR_ncap</v>
          </cell>
          <cell r="C337" t="str">
            <v>-</v>
          </cell>
          <cell r="D337">
            <v>3.03810507302544E-3</v>
          </cell>
          <cell r="E337">
            <v>0.143472911896981</v>
          </cell>
          <cell r="F337">
            <v>0.145929718856187</v>
          </cell>
          <cell r="G337">
            <v>0.112991795475512</v>
          </cell>
          <cell r="H337">
            <v>0.27002285651909602</v>
          </cell>
          <cell r="I337">
            <v>0.22523585847017999</v>
          </cell>
          <cell r="J337"/>
          <cell r="K337"/>
        </row>
        <row r="338">
          <cell r="A338" t="str">
            <v>RHES-SHSTG-ELCHP</v>
          </cell>
          <cell r="B338" t="str">
            <v>VAR_cap</v>
          </cell>
          <cell r="C338" t="str">
            <v>-</v>
          </cell>
          <cell r="D338">
            <v>3.03810507302544E-3</v>
          </cell>
          <cell r="E338">
            <v>0.14649999292139748</v>
          </cell>
          <cell r="F338">
            <v>0.2924236777968372</v>
          </cell>
          <cell r="G338">
            <v>0.40541110248945794</v>
          </cell>
          <cell r="H338">
            <v>0.48770669698380886</v>
          </cell>
          <cell r="I338">
            <v>0.4696957994214575</v>
          </cell>
          <cell r="J338"/>
          <cell r="K338"/>
        </row>
        <row r="339">
          <cell r="A339" t="str">
            <v>SCOM-SHCONBR6</v>
          </cell>
          <cell r="B339" t="str">
            <v>VAR_fout</v>
          </cell>
          <cell r="C339" t="str">
            <v>SCOM-SHCON</v>
          </cell>
          <cell r="D339"/>
          <cell r="E339"/>
          <cell r="F339"/>
          <cell r="G339"/>
          <cell r="H339">
            <v>1.7815356057025155E-4</v>
          </cell>
          <cell r="I339">
            <v>2.3795651183762851E-4</v>
          </cell>
          <cell r="J339"/>
        </row>
        <row r="340">
          <cell r="A340" t="str">
            <v>SCOM-SHCONBR6</v>
          </cell>
          <cell r="B340" t="str">
            <v>VAR_fin</v>
          </cell>
          <cell r="C340" t="str">
            <v>CON</v>
          </cell>
          <cell r="D340"/>
          <cell r="F340"/>
          <cell r="G340"/>
          <cell r="H340">
            <v>1.7815356057025155E-4</v>
          </cell>
          <cell r="I340">
            <v>2.3795651183762851E-4</v>
          </cell>
          <cell r="J340"/>
          <cell r="K340"/>
        </row>
        <row r="341">
          <cell r="A341" t="str">
            <v>SCOM-SHCONBR6</v>
          </cell>
          <cell r="B341" t="str">
            <v>VAR_ncap</v>
          </cell>
          <cell r="C341" t="str">
            <v>-</v>
          </cell>
          <cell r="D341"/>
          <cell r="F341"/>
          <cell r="G341"/>
          <cell r="H341">
            <v>2.6511064798854599E-7</v>
          </cell>
          <cell r="I341">
            <v>2.8551323907676799E-6</v>
          </cell>
          <cell r="J341"/>
          <cell r="K341"/>
        </row>
        <row r="342">
          <cell r="A342" t="str">
            <v>SCOM-SHCONBR6</v>
          </cell>
          <cell r="B342" t="str">
            <v>VAR_cap</v>
          </cell>
          <cell r="C342" t="str">
            <v>-</v>
          </cell>
          <cell r="D342"/>
          <cell r="E342"/>
          <cell r="F342"/>
          <cell r="G342"/>
          <cell r="H342">
            <v>1.6276209243864892E-5</v>
          </cell>
          <cell r="I342">
            <v>1.9152897249721199E-5</v>
          </cell>
          <cell r="J342"/>
        </row>
        <row r="343">
          <cell r="A343" t="str">
            <v>RHNM-SHDEM</v>
          </cell>
          <cell r="B343" t="str">
            <v>VAR_fout</v>
          </cell>
          <cell r="C343" t="str">
            <v>RHNM-SHD</v>
          </cell>
          <cell r="D343"/>
          <cell r="E343">
            <v>1.2071502183152301</v>
          </cell>
          <cell r="F343">
            <v>1.4938131443676796</v>
          </cell>
          <cell r="G343">
            <v>2.726120157129269</v>
          </cell>
          <cell r="H343">
            <v>4.2094231302067513</v>
          </cell>
          <cell r="I343">
            <v>4.9770464895040405</v>
          </cell>
          <cell r="J343"/>
        </row>
        <row r="344">
          <cell r="A344" t="str">
            <v>RHNM-SHDEM</v>
          </cell>
          <cell r="B344" t="str">
            <v>VAR_fin</v>
          </cell>
          <cell r="C344" t="str">
            <v>RHNM-SHLFO</v>
          </cell>
          <cell r="D344"/>
          <cell r="E344">
            <v>3.2578962070315985E-2</v>
          </cell>
          <cell r="F344">
            <v>4.9173937194432402E-2</v>
          </cell>
          <cell r="G344">
            <v>5.6896736983464598E-2</v>
          </cell>
          <cell r="H344">
            <v>2.923900586010093E-2</v>
          </cell>
          <cell r="I344">
            <v>8.5488835741774836E-5</v>
          </cell>
          <cell r="J344"/>
        </row>
        <row r="345">
          <cell r="A345" t="str">
            <v>RHNM-SHDEM</v>
          </cell>
          <cell r="B345" t="str">
            <v>VAR_fin</v>
          </cell>
          <cell r="C345" t="str">
            <v>RHNM-SHLTHD</v>
          </cell>
          <cell r="D345"/>
          <cell r="E345">
            <v>0.2345543926021135</v>
          </cell>
          <cell r="F345">
            <v>5.0935842664261141E-2</v>
          </cell>
          <cell r="G345">
            <v>0.18498959795930903</v>
          </cell>
          <cell r="H345">
            <v>0.23105557195125309</v>
          </cell>
          <cell r="I345">
            <v>0.25987831598194916</v>
          </cell>
          <cell r="J345"/>
          <cell r="K345"/>
        </row>
        <row r="346">
          <cell r="A346" t="str">
            <v>RHNM-SHDEM</v>
          </cell>
          <cell r="B346" t="str">
            <v>VAR_fin</v>
          </cell>
          <cell r="C346" t="str">
            <v>RHNM-SHCON</v>
          </cell>
          <cell r="D346"/>
          <cell r="F346">
            <v>7.5611672047540366E-4</v>
          </cell>
          <cell r="G346">
            <v>7.2799091667227029E-4</v>
          </cell>
          <cell r="H346">
            <v>2.3364387796871535E-3</v>
          </cell>
          <cell r="I346">
            <v>2.3179920165823696E-3</v>
          </cell>
          <cell r="J346"/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RHNM-SHELCB</v>
          </cell>
          <cell r="D347"/>
          <cell r="E347">
            <v>0.11933354777560341</v>
          </cell>
          <cell r="F347">
            <v>8.1651256912907983E-4</v>
          </cell>
          <cell r="G347">
            <v>1.4834356716552219E-3</v>
          </cell>
          <cell r="H347">
            <v>1.7816426440255433E-3</v>
          </cell>
          <cell r="I347">
            <v>1.7753899944555698E-3</v>
          </cell>
          <cell r="J347"/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RHNM-SHWOD</v>
          </cell>
          <cell r="D348"/>
          <cell r="E348">
            <v>7.1457466355145771E-2</v>
          </cell>
          <cell r="F348">
            <v>7.0104164569837937E-2</v>
          </cell>
          <cell r="G348">
            <v>0.12528683478975955</v>
          </cell>
          <cell r="H348">
            <v>0.14805628577239086</v>
          </cell>
          <cell r="I348">
            <v>0.14340611448791332</v>
          </cell>
          <cell r="J348"/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RHNM-SHELCH</v>
          </cell>
          <cell r="D349"/>
          <cell r="E349">
            <v>3.2736951371582834E-2</v>
          </cell>
          <cell r="F349">
            <v>0.93987052683858696</v>
          </cell>
          <cell r="G349">
            <v>1.5874933861264398</v>
          </cell>
          <cell r="H349">
            <v>2.5458523846331746</v>
          </cell>
          <cell r="I349">
            <v>3.1707785517078086</v>
          </cell>
          <cell r="J349"/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RHNM-SHNST</v>
          </cell>
          <cell r="D350"/>
          <cell r="E350">
            <v>1.0558679310537356E-2</v>
          </cell>
          <cell r="F350">
            <v>1.1358123385342428E-4</v>
          </cell>
          <cell r="G350">
            <v>3.833391557464976E-5</v>
          </cell>
          <cell r="H350">
            <v>3.1720619689845324E-5</v>
          </cell>
          <cell r="I350">
            <v>1.9062480447903411E-5</v>
          </cell>
          <cell r="J350"/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RHNM-SHPLT</v>
          </cell>
          <cell r="D351"/>
          <cell r="E351">
            <v>6.6723753377903622E-2</v>
          </cell>
          <cell r="F351">
            <v>1.2751353939162954E-2</v>
          </cell>
          <cell r="G351">
            <v>2.9073852840577938E-2</v>
          </cell>
          <cell r="H351">
            <v>3.8799640247010415E-2</v>
          </cell>
          <cell r="I351">
            <v>4.3820060825267085E-2</v>
          </cell>
          <cell r="J351"/>
          <cell r="K351"/>
        </row>
        <row r="352">
          <cell r="A352" t="str">
            <v>RHNM-SHDEM</v>
          </cell>
          <cell r="B352" t="str">
            <v>VAR_fin</v>
          </cell>
          <cell r="C352" t="str">
            <v>RHNM-SHLTHC-NGA</v>
          </cell>
          <cell r="D352"/>
          <cell r="E352">
            <v>3.3066315900784821E-2</v>
          </cell>
          <cell r="F352"/>
          <cell r="G352"/>
          <cell r="H352">
            <v>4.7990224288336059E-5</v>
          </cell>
          <cell r="I352">
            <v>4.4386476739117027E-5</v>
          </cell>
          <cell r="J352"/>
          <cell r="K352"/>
        </row>
        <row r="353">
          <cell r="A353" t="str">
            <v>RHNM-SHDEM</v>
          </cell>
          <cell r="B353" t="str">
            <v>VAR_fin</v>
          </cell>
          <cell r="C353" t="str">
            <v>RHNM-SHSOL</v>
          </cell>
          <cell r="D353"/>
          <cell r="E353">
            <v>3.9273544174810271E-2</v>
          </cell>
          <cell r="F353">
            <v>1.9937508852600039E-4</v>
          </cell>
          <cell r="G353">
            <v>2.4677903536976845E-4</v>
          </cell>
          <cell r="H353">
            <v>3.2357019201574734E-4</v>
          </cell>
          <cell r="I353">
            <v>6.4120945806655117E-4</v>
          </cell>
          <cell r="J353"/>
          <cell r="K353"/>
        </row>
        <row r="354">
          <cell r="A354" t="str">
            <v>RHNM-SHDEM</v>
          </cell>
          <cell r="B354" t="str">
            <v>VAR_fin</v>
          </cell>
          <cell r="C354" t="str">
            <v>RHNM-SHLTHC-WOD</v>
          </cell>
          <cell r="D354"/>
          <cell r="E354">
            <v>5.3002704309571477E-3</v>
          </cell>
          <cell r="G354">
            <v>7.9849632546842475E-5</v>
          </cell>
          <cell r="H354">
            <v>4.4359951573319178E-5</v>
          </cell>
          <cell r="I354">
            <v>4.7248005191699276E-5</v>
          </cell>
          <cell r="J354"/>
          <cell r="K354"/>
        </row>
        <row r="355">
          <cell r="A355" t="str">
            <v>RHNM-SHDEM</v>
          </cell>
          <cell r="B355" t="str">
            <v>VAR_fin</v>
          </cell>
          <cell r="C355" t="str">
            <v>RHNM-SHNGAH</v>
          </cell>
          <cell r="D355"/>
          <cell r="E355">
            <v>5.4643736209887064E-3</v>
          </cell>
          <cell r="F355">
            <v>0.27107786346029406</v>
          </cell>
          <cell r="G355">
            <v>0.63017609648432027</v>
          </cell>
          <cell r="H355">
            <v>1.1546576534564452</v>
          </cell>
          <cell r="I355">
            <v>1.354339318352912</v>
          </cell>
          <cell r="J355"/>
          <cell r="K355"/>
        </row>
        <row r="356">
          <cell r="A356" t="str">
            <v>RHNM-SHDEM</v>
          </cell>
          <cell r="B356" t="str">
            <v>VAR_fin</v>
          </cell>
          <cell r="C356" t="str">
            <v>RHNM-SHNGA</v>
          </cell>
          <cell r="D356"/>
          <cell r="E356">
            <v>0.55624825267261013</v>
          </cell>
          <cell r="F356">
            <v>9.8290371889631398E-2</v>
          </cell>
          <cell r="G356">
            <v>0.10984283062208751</v>
          </cell>
          <cell r="H356">
            <v>5.7390949230193028E-2</v>
          </cell>
          <cell r="I356">
            <v>2.8057491536745255E-5</v>
          </cell>
          <cell r="J356"/>
          <cell r="K356"/>
        </row>
        <row r="357">
          <cell r="A357" t="str">
            <v>SCOM-STG-ELCSPEC</v>
          </cell>
          <cell r="B357" t="str">
            <v>VAR_fout</v>
          </cell>
          <cell r="C357" t="str">
            <v>SCOM-ELS</v>
          </cell>
          <cell r="D357"/>
          <cell r="E357">
            <v>7.4065136757883636E-3</v>
          </cell>
          <cell r="F357">
            <v>7.4625547624582421E-3</v>
          </cell>
          <cell r="G357">
            <v>7.5895145962657715E-3</v>
          </cell>
          <cell r="H357">
            <v>8.6406416753027036E-3</v>
          </cell>
          <cell r="I357">
            <v>8.7988839670213662E-3</v>
          </cell>
          <cell r="J357"/>
          <cell r="K357"/>
        </row>
        <row r="358">
          <cell r="A358" t="str">
            <v>SCOM-STG-ELCSPEC</v>
          </cell>
          <cell r="B358" t="str">
            <v>VAR_fin</v>
          </cell>
          <cell r="C358" t="str">
            <v>SCOM-ELS</v>
          </cell>
          <cell r="E358">
            <v>7.4078557230361003E-3</v>
          </cell>
          <cell r="F358">
            <v>7.4638045930091358E-3</v>
          </cell>
          <cell r="G358">
            <v>7.590874302029941E-3</v>
          </cell>
          <cell r="H358">
            <v>8.6420013810668619E-3</v>
          </cell>
          <cell r="I358">
            <v>8.7995667629895847E-3</v>
          </cell>
          <cell r="J358"/>
          <cell r="K358"/>
        </row>
        <row r="359">
          <cell r="A359" t="str">
            <v>SCOM-STG-ELCSPEC</v>
          </cell>
          <cell r="B359" t="str">
            <v>VAR_ncap</v>
          </cell>
          <cell r="C359" t="str">
            <v>-</v>
          </cell>
          <cell r="D359"/>
          <cell r="E359">
            <v>2.8006748256042998E-4</v>
          </cell>
          <cell r="F359">
            <v>2.3380333269001901E-6</v>
          </cell>
          <cell r="G359">
            <v>1.39275410121422E-6</v>
          </cell>
          <cell r="H359">
            <v>1.36534298286914E-4</v>
          </cell>
          <cell r="I359">
            <v>1.5625927987544E-4</v>
          </cell>
          <cell r="J359"/>
          <cell r="K359"/>
        </row>
        <row r="360">
          <cell r="A360" t="str">
            <v>SCOM-STG-ELCSPEC</v>
          </cell>
          <cell r="B360" t="str">
            <v>VAR_cap</v>
          </cell>
          <cell r="C360" t="str">
            <v>-</v>
          </cell>
          <cell r="D360"/>
          <cell r="E360">
            <v>2.8006748256042998E-4</v>
          </cell>
          <cell r="F360">
            <v>2.8226866459013652E-4</v>
          </cell>
          <cell r="G360">
            <v>2.8333772841749769E-4</v>
          </cell>
          <cell r="H360">
            <v>3.2198816962987568E-4</v>
          </cell>
          <cell r="I360">
            <v>3.229927594719E-4</v>
          </cell>
          <cell r="J360"/>
          <cell r="K360"/>
        </row>
        <row r="361">
          <cell r="A361" t="str">
            <v>SCOM-SHCONBR7</v>
          </cell>
          <cell r="B361" t="str">
            <v>VAR_fout</v>
          </cell>
          <cell r="C361" t="str">
            <v>SCOM-SHCON</v>
          </cell>
          <cell r="D361"/>
          <cell r="G361"/>
          <cell r="H361"/>
          <cell r="I361">
            <v>1.0062783075757127E-4</v>
          </cell>
          <cell r="J361"/>
          <cell r="K361"/>
        </row>
        <row r="362">
          <cell r="A362" t="str">
            <v>SCOM-SHCONBR7</v>
          </cell>
          <cell r="B362" t="str">
            <v>VAR_fin</v>
          </cell>
          <cell r="C362" t="str">
            <v>CON</v>
          </cell>
          <cell r="D362"/>
          <cell r="G362"/>
          <cell r="H362"/>
          <cell r="I362">
            <v>1.0062783075757127E-4</v>
          </cell>
          <cell r="J362"/>
          <cell r="K362"/>
        </row>
        <row r="363">
          <cell r="A363" t="str">
            <v>SCOM-SHCONBR7</v>
          </cell>
          <cell r="B363" t="str">
            <v>VAR_ncap</v>
          </cell>
          <cell r="C363" t="str">
            <v>-</v>
          </cell>
          <cell r="D363"/>
          <cell r="G363"/>
          <cell r="H363"/>
          <cell r="I363">
            <v>7.6249565090419802E-6</v>
          </cell>
          <cell r="J363"/>
          <cell r="K363"/>
        </row>
        <row r="364">
          <cell r="A364" t="str">
            <v>SCOM-SHCONBR7</v>
          </cell>
          <cell r="B364" t="str">
            <v>VAR_cap</v>
          </cell>
          <cell r="C364" t="str">
            <v>-</v>
          </cell>
          <cell r="D364"/>
          <cell r="G364"/>
          <cell r="H364"/>
          <cell r="I364">
            <v>7.6249565090419802E-6</v>
          </cell>
          <cell r="J364"/>
        </row>
        <row r="365">
          <cell r="A365" t="str">
            <v>SCOM-SHCONBR8</v>
          </cell>
          <cell r="B365" t="str">
            <v>VAR_fout</v>
          </cell>
          <cell r="C365" t="str">
            <v>SCOM-SHCON</v>
          </cell>
          <cell r="D365"/>
          <cell r="G365"/>
          <cell r="H365"/>
          <cell r="I365">
            <v>2.6681492192247226E-5</v>
          </cell>
          <cell r="J365"/>
        </row>
        <row r="366">
          <cell r="A366" t="str">
            <v>SCOM-SHCONBR8</v>
          </cell>
          <cell r="B366" t="str">
            <v>VAR_fin</v>
          </cell>
          <cell r="C366" t="str">
            <v>CON</v>
          </cell>
          <cell r="D366"/>
          <cell r="G366"/>
          <cell r="H366"/>
          <cell r="I366">
            <v>2.6681492192247226E-5</v>
          </cell>
          <cell r="J366"/>
          <cell r="K366"/>
        </row>
        <row r="367">
          <cell r="A367" t="str">
            <v>SCOM-SHCONBR8</v>
          </cell>
          <cell r="B367" t="str">
            <v>VAR_ncap</v>
          </cell>
          <cell r="C367" t="str">
            <v>-</v>
          </cell>
          <cell r="D367"/>
          <cell r="G367"/>
          <cell r="H367"/>
          <cell r="I367">
            <v>1.2422641750789499E-6</v>
          </cell>
          <cell r="J367"/>
          <cell r="K367"/>
        </row>
        <row r="368">
          <cell r="A368" t="str">
            <v>SCOM-SHCONBR8</v>
          </cell>
          <cell r="B368" t="str">
            <v>VAR_cap</v>
          </cell>
          <cell r="C368" t="str">
            <v>-</v>
          </cell>
          <cell r="D368"/>
          <cell r="G368"/>
          <cell r="H368"/>
          <cell r="I368">
            <v>1.2422641750789499E-6</v>
          </cell>
          <cell r="J368"/>
        </row>
        <row r="369">
          <cell r="A369" t="str">
            <v>ITOT-ELCSPEC</v>
          </cell>
          <cell r="B369" t="str">
            <v>VAR_fout</v>
          </cell>
          <cell r="C369" t="str">
            <v>ITOT-ELS</v>
          </cell>
          <cell r="D369">
            <v>48.063397652170998</v>
          </cell>
          <cell r="E369">
            <v>49.866379534729298</v>
          </cell>
          <cell r="F369">
            <v>51.114335071409187</v>
          </cell>
          <cell r="G369">
            <v>51.645313275522042</v>
          </cell>
          <cell r="H369">
            <v>50.063442985947482</v>
          </cell>
          <cell r="I369">
            <v>51.13057156493408</v>
          </cell>
          <cell r="J369"/>
          <cell r="K369"/>
        </row>
        <row r="370">
          <cell r="A370" t="str">
            <v>ITOT-ELCSPEC</v>
          </cell>
          <cell r="B370" t="str">
            <v>VAR_fin</v>
          </cell>
          <cell r="C370" t="str">
            <v>ITOT_ELC</v>
          </cell>
          <cell r="D370">
            <v>48.063397652170998</v>
          </cell>
          <cell r="E370">
            <v>49.866379534729298</v>
          </cell>
          <cell r="F370">
            <v>51.114335071409187</v>
          </cell>
          <cell r="G370">
            <v>51.645313275522042</v>
          </cell>
          <cell r="H370">
            <v>50.063442985947482</v>
          </cell>
          <cell r="I370">
            <v>51.13057156493408</v>
          </cell>
          <cell r="J370"/>
          <cell r="K370"/>
        </row>
        <row r="371">
          <cell r="A371" t="str">
            <v>ITOT-ELCSPEC</v>
          </cell>
          <cell r="B371" t="str">
            <v>VAR_ncap</v>
          </cell>
          <cell r="C371" t="str">
            <v>-</v>
          </cell>
          <cell r="D371">
            <v>8.3498245349015801E-2</v>
          </cell>
          <cell r="E371">
            <v>9.8050592950821594E-2</v>
          </cell>
          <cell r="F371">
            <v>6.7867771545922703E-2</v>
          </cell>
          <cell r="G371">
            <v>2.8877111902350702E-2</v>
          </cell>
          <cell r="H371">
            <v>1.58389995497047E-6</v>
          </cell>
          <cell r="I371">
            <v>2.4913242510109699</v>
          </cell>
          <cell r="J371"/>
          <cell r="K371"/>
        </row>
        <row r="372">
          <cell r="A372" t="str">
            <v>ITOT-ELCSPEC</v>
          </cell>
          <cell r="B372" t="str">
            <v>VAR_cap</v>
          </cell>
          <cell r="C372" t="str">
            <v>-</v>
          </cell>
          <cell r="D372">
            <v>2.613825477381726</v>
          </cell>
          <cell r="E372">
            <v>2.7118758279168729</v>
          </cell>
          <cell r="F372">
            <v>2.7797431792625669</v>
          </cell>
          <cell r="G372">
            <v>2.8086189652030358</v>
          </cell>
          <cell r="H372">
            <v>2.7225940660633952</v>
          </cell>
          <cell r="I372">
            <v>2.7806258857582571</v>
          </cell>
          <cell r="J372"/>
          <cell r="K372"/>
        </row>
        <row r="373">
          <cell r="A373" t="str">
            <v>RHNM-SHLTHDH</v>
          </cell>
          <cell r="B373" t="str">
            <v>VAR_fout</v>
          </cell>
          <cell r="C373" t="str">
            <v>RHNM-SHLTHD</v>
          </cell>
          <cell r="D373"/>
          <cell r="E373">
            <v>0.34659549242932525</v>
          </cell>
          <cell r="F373">
            <v>5.1057715173140956E-2</v>
          </cell>
          <cell r="G373">
            <v>0.18512566699233191</v>
          </cell>
          <cell r="H373">
            <v>0.23121664256425517</v>
          </cell>
          <cell r="I373">
            <v>0.26028619747233855</v>
          </cell>
          <cell r="J373"/>
        </row>
        <row r="374">
          <cell r="A374" t="str">
            <v>RHNM-SHLTHDH</v>
          </cell>
          <cell r="B374" t="str">
            <v>VAR_fin</v>
          </cell>
          <cell r="C374" t="str">
            <v>RHNMLTHDHC</v>
          </cell>
          <cell r="E374">
            <v>0.34659549242932525</v>
          </cell>
          <cell r="F374">
            <v>5.1057715173140956E-2</v>
          </cell>
          <cell r="G374">
            <v>0.18512566699233191</v>
          </cell>
          <cell r="H374">
            <v>0.23121664256425517</v>
          </cell>
          <cell r="I374">
            <v>0.26028619747233855</v>
          </cell>
          <cell r="J374"/>
          <cell r="K374"/>
        </row>
        <row r="375">
          <cell r="A375" t="str">
            <v>RHNM-SHLTHDH</v>
          </cell>
          <cell r="B375" t="str">
            <v>VAR_fin</v>
          </cell>
          <cell r="C375" t="str">
            <v>RHNM_LTH_DH</v>
          </cell>
          <cell r="E375">
            <v>0.35009645699931846</v>
          </cell>
          <cell r="F375">
            <v>5.6492066205753928E-2</v>
          </cell>
          <cell r="G375">
            <v>0.20392547913753092</v>
          </cell>
          <cell r="H375">
            <v>0.25430352142578261</v>
          </cell>
          <cell r="I375">
            <v>0.28627565845459252</v>
          </cell>
          <cell r="J375"/>
          <cell r="K375"/>
        </row>
        <row r="376">
          <cell r="A376" t="str">
            <v>RHNM-SHLTHDH</v>
          </cell>
          <cell r="B376" t="str">
            <v>VAR_ncap</v>
          </cell>
          <cell r="C376" t="str">
            <v>-</v>
          </cell>
          <cell r="E376">
            <v>3.7430599085854298E-2</v>
          </cell>
          <cell r="F376">
            <v>4.5560676931374203E-3</v>
          </cell>
          <cell r="G376">
            <v>1.65265269015024E-2</v>
          </cell>
          <cell r="H376">
            <v>9.1693141431742602E-3</v>
          </cell>
          <cell r="I376">
            <v>3.5871504956920999E-2</v>
          </cell>
          <cell r="J376"/>
          <cell r="K376"/>
        </row>
        <row r="377">
          <cell r="A377" t="str">
            <v>RHNM-SHLTHDH</v>
          </cell>
          <cell r="B377" t="str">
            <v>VAR_cap</v>
          </cell>
          <cell r="C377" t="str">
            <v>-</v>
          </cell>
          <cell r="D377"/>
          <cell r="E377">
            <v>3.7430599085854298E-2</v>
          </cell>
          <cell r="F377">
            <v>7.8590569222771051E-3</v>
          </cell>
          <cell r="G377">
            <v>2.2037243580272696E-2</v>
          </cell>
          <cell r="H377">
            <v>3.0889300094993501E-2</v>
          </cell>
          <cell r="I377">
            <v>5.8293854262091396E-2</v>
          </cell>
          <cell r="J377"/>
          <cell r="K377"/>
        </row>
        <row r="378">
          <cell r="A378" t="str">
            <v>SCOM-SHCONBR9</v>
          </cell>
          <cell r="B378" t="str">
            <v>VAR_fout</v>
          </cell>
          <cell r="C378" t="str">
            <v>SCOM-SHCON</v>
          </cell>
          <cell r="G378"/>
          <cell r="H378"/>
          <cell r="I378">
            <v>1.0288982645404737E-5</v>
          </cell>
          <cell r="J378"/>
          <cell r="K378"/>
        </row>
        <row r="379">
          <cell r="A379" t="str">
            <v>SCOM-SHCONBR9</v>
          </cell>
          <cell r="B379" t="str">
            <v>VAR_fin</v>
          </cell>
          <cell r="C379" t="str">
            <v>CON</v>
          </cell>
          <cell r="D379"/>
          <cell r="G379"/>
          <cell r="H379"/>
          <cell r="I379">
            <v>1.0288982645404737E-5</v>
          </cell>
          <cell r="J379"/>
          <cell r="K379"/>
        </row>
        <row r="380">
          <cell r="A380" t="str">
            <v>SCOM-SHCONBR9</v>
          </cell>
          <cell r="B380" t="str">
            <v>VAR_ncap</v>
          </cell>
          <cell r="C380" t="str">
            <v>-</v>
          </cell>
          <cell r="H380"/>
          <cell r="I380">
            <v>7.9206881755570006E-8</v>
          </cell>
          <cell r="J380"/>
          <cell r="K380"/>
        </row>
        <row r="381">
          <cell r="A381" t="str">
            <v>SCOM-SHCONBR9</v>
          </cell>
          <cell r="B381" t="str">
            <v>VAR_cap</v>
          </cell>
          <cell r="C381" t="str">
            <v>-</v>
          </cell>
          <cell r="G381"/>
          <cell r="H381"/>
          <cell r="I381">
            <v>7.9206881755570006E-8</v>
          </cell>
          <cell r="J381"/>
          <cell r="K381"/>
        </row>
        <row r="382">
          <cell r="A382" t="str">
            <v>ITOT-SWHCOABR</v>
          </cell>
          <cell r="B382" t="str">
            <v>VAR_fout</v>
          </cell>
          <cell r="C382" t="str">
            <v>ITOT-SWH</v>
          </cell>
          <cell r="D382">
            <v>2.3674180771328248</v>
          </cell>
          <cell r="E382">
            <v>2.3075055946380938</v>
          </cell>
          <cell r="F382">
            <v>0.73838257978367949</v>
          </cell>
          <cell r="G382">
            <v>1.1240626836035131E-4</v>
          </cell>
          <cell r="H382">
            <v>4.3744926530288618E-4</v>
          </cell>
          <cell r="I382">
            <v>1.3696094668206056E-4</v>
          </cell>
          <cell r="J382"/>
          <cell r="K382"/>
        </row>
        <row r="383">
          <cell r="A383" t="str">
            <v>ITOT-SWHCOABR</v>
          </cell>
          <cell r="B383" t="str">
            <v>VAR_fout</v>
          </cell>
          <cell r="C383" t="str">
            <v>CO2_I</v>
          </cell>
          <cell r="D383">
            <v>330.01451992513199</v>
          </cell>
          <cell r="E383">
            <v>321.179832767194</v>
          </cell>
          <cell r="F383">
            <v>102.543917821644</v>
          </cell>
          <cell r="G383">
            <v>1.55523299656784E-2</v>
          </cell>
          <cell r="H383">
            <v>6.0076365768263099E-2</v>
          </cell>
          <cell r="I383">
            <v>1.8670999643275E-2</v>
          </cell>
          <cell r="J383"/>
          <cell r="K383"/>
        </row>
        <row r="384">
          <cell r="A384" t="str">
            <v>ITOT-SWHCOABR</v>
          </cell>
          <cell r="B384" t="str">
            <v>VAR_fin</v>
          </cell>
          <cell r="C384" t="str">
            <v>ICOA</v>
          </cell>
          <cell r="D384">
            <v>3.5600271836583843</v>
          </cell>
          <cell r="E384">
            <v>3.4647231150722129</v>
          </cell>
          <cell r="F384">
            <v>1.106191130762066</v>
          </cell>
          <cell r="G384">
            <v>1.6777054979156893E-4</v>
          </cell>
          <cell r="H384">
            <v>6.4807298563390541E-4</v>
          </cell>
          <cell r="I384">
            <v>2.0141315688538322E-4</v>
          </cell>
          <cell r="J384"/>
          <cell r="K384"/>
        </row>
        <row r="385">
          <cell r="A385" t="str">
            <v>ITOT-SWHCOABR</v>
          </cell>
          <cell r="B385" t="str">
            <v>VAR_ncap</v>
          </cell>
          <cell r="C385" t="str">
            <v>-</v>
          </cell>
          <cell r="D385"/>
          <cell r="E385">
            <v>2.0874128169265101E-6</v>
          </cell>
          <cell r="F385">
            <v>1.52912837058031E-6</v>
          </cell>
          <cell r="G385">
            <v>3.1377776063254001E-6</v>
          </cell>
          <cell r="H385">
            <v>2.3743280433571099E-5</v>
          </cell>
          <cell r="I385">
            <v>1.59308723175577E-6</v>
          </cell>
          <cell r="J385"/>
          <cell r="K385"/>
        </row>
        <row r="386">
          <cell r="A386" t="str">
            <v>ITOT-SWHCOABR</v>
          </cell>
          <cell r="B386" t="str">
            <v>VAR_cap</v>
          </cell>
          <cell r="C386" t="str">
            <v>-</v>
          </cell>
          <cell r="D386">
            <v>0.26172155007150499</v>
          </cell>
          <cell r="E386">
            <v>0.14801985616645691</v>
          </cell>
          <cell r="F386">
            <v>6.4213980090554512E-2</v>
          </cell>
          <cell r="G386">
            <v>1.0768238929814711E-5</v>
          </cell>
          <cell r="H386">
            <v>4.0726320588473543E-5</v>
          </cell>
          <cell r="I386">
            <v>1.3063943952190302E-5</v>
          </cell>
          <cell r="J386"/>
        </row>
        <row r="387">
          <cell r="A387" t="str">
            <v>RHSA-WHDEM</v>
          </cell>
          <cell r="B387" t="str">
            <v>VAR_fout</v>
          </cell>
          <cell r="C387" t="str">
            <v>RHSA-WHD</v>
          </cell>
          <cell r="D387">
            <v>26.438654975424289</v>
          </cell>
          <cell r="E387">
            <v>25.92879146371218</v>
          </cell>
          <cell r="F387">
            <v>21.678878502471598</v>
          </cell>
          <cell r="G387">
            <v>22.174312796078699</v>
          </cell>
          <cell r="H387">
            <v>26.866403850067208</v>
          </cell>
          <cell r="I387">
            <v>28.758314512819585</v>
          </cell>
          <cell r="J387"/>
        </row>
        <row r="388">
          <cell r="A388" t="str">
            <v>RHSA-WHDEM</v>
          </cell>
          <cell r="B388" t="str">
            <v>VAR_fin</v>
          </cell>
          <cell r="C388" t="str">
            <v>RHSA-WHNGA</v>
          </cell>
          <cell r="D388">
            <v>6.1949734390941753</v>
          </cell>
          <cell r="E388">
            <v>5.5285890760742449</v>
          </cell>
          <cell r="F388">
            <v>5.2055685383365011</v>
          </cell>
          <cell r="G388">
            <v>3.2306536816320532</v>
          </cell>
          <cell r="H388">
            <v>1.1489649295563558</v>
          </cell>
          <cell r="I388">
            <v>0.45874612243748003</v>
          </cell>
          <cell r="J388"/>
        </row>
        <row r="389">
          <cell r="A389" t="str">
            <v>RHSA-WHDEM</v>
          </cell>
          <cell r="B389" t="str">
            <v>VAR_fin</v>
          </cell>
          <cell r="C389" t="str">
            <v>RHSA-WHLFO</v>
          </cell>
          <cell r="D389">
            <v>6.8068828652065507</v>
          </cell>
          <cell r="E389">
            <v>5.5546966573479244</v>
          </cell>
          <cell r="F389">
            <v>4.3868307400114501</v>
          </cell>
          <cell r="G389">
            <v>1.9238058458649097</v>
          </cell>
          <cell r="H389">
            <v>0.56425544640958147</v>
          </cell>
          <cell r="I389">
            <v>1.2944916061081597E-2</v>
          </cell>
          <cell r="J389"/>
          <cell r="K389"/>
        </row>
        <row r="390">
          <cell r="A390" t="str">
            <v>RHSA-WHDEM</v>
          </cell>
          <cell r="B390" t="str">
            <v>VAR_fin</v>
          </cell>
          <cell r="C390" t="str">
            <v>RHSA-WHWOD</v>
          </cell>
          <cell r="D390">
            <v>0.56098361944789121</v>
          </cell>
          <cell r="E390">
            <v>0.59701128909606915</v>
          </cell>
          <cell r="F390">
            <v>1.2970118046360857</v>
          </cell>
          <cell r="G390">
            <v>1.2992416800857489</v>
          </cell>
          <cell r="H390">
            <v>1.2011386611198969</v>
          </cell>
          <cell r="I390">
            <v>0.9448500243421305</v>
          </cell>
          <cell r="J390"/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RHSA-WHNGAH</v>
          </cell>
          <cell r="D391">
            <v>6.7472675776035634E-2</v>
          </cell>
          <cell r="E391">
            <v>1.2984394818682144E-4</v>
          </cell>
          <cell r="F391">
            <v>0.8887605636340572</v>
          </cell>
          <cell r="G391">
            <v>1.8078922308770922</v>
          </cell>
          <cell r="H391">
            <v>3.5206839299254695</v>
          </cell>
          <cell r="I391">
            <v>4.0536349236836458</v>
          </cell>
          <cell r="J391"/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RHSA-WHNST</v>
          </cell>
          <cell r="D392">
            <v>2.8228405610235714E-2</v>
          </cell>
          <cell r="E392">
            <v>1.7836608070063097E-4</v>
          </cell>
          <cell r="H392"/>
          <cell r="I392"/>
          <cell r="J392"/>
          <cell r="K392"/>
        </row>
        <row r="393">
          <cell r="A393" t="str">
            <v>RHSA-WHDEM</v>
          </cell>
          <cell r="B393" t="str">
            <v>VAR_fin</v>
          </cell>
          <cell r="C393" t="str">
            <v>RHSA-WHPLT</v>
          </cell>
          <cell r="D393">
            <v>0.27599001341375817</v>
          </cell>
          <cell r="E393">
            <v>0.1946175482437808</v>
          </cell>
          <cell r="F393">
            <v>0.11054229467369761</v>
          </cell>
          <cell r="G393">
            <v>0.15710339772275037</v>
          </cell>
          <cell r="H393">
            <v>0.20528740579087776</v>
          </cell>
          <cell r="I393">
            <v>0.20262342522788004</v>
          </cell>
          <cell r="J393"/>
          <cell r="K393"/>
        </row>
        <row r="394">
          <cell r="A394" t="str">
            <v>RHSA-WHDEM</v>
          </cell>
          <cell r="B394" t="str">
            <v>VAR_fin</v>
          </cell>
          <cell r="C394" t="str">
            <v>RHSA-WHLTHRD</v>
          </cell>
          <cell r="D394">
            <v>1.279080456168793</v>
          </cell>
          <cell r="E394">
            <v>1.4631380922994688</v>
          </cell>
          <cell r="F394">
            <v>0.95384974979046622</v>
          </cell>
          <cell r="G394">
            <v>1.308984555105366</v>
          </cell>
          <cell r="H394">
            <v>1.6375981044451542</v>
          </cell>
          <cell r="I394">
            <v>1.7232895408882407</v>
          </cell>
          <cell r="J394"/>
          <cell r="K394"/>
        </row>
        <row r="395">
          <cell r="A395" t="str">
            <v>RHSA-WHDEM</v>
          </cell>
          <cell r="B395" t="str">
            <v>VAR_fin</v>
          </cell>
          <cell r="C395" t="str">
            <v>RHSA-WHELCB</v>
          </cell>
          <cell r="D395">
            <v>6.4499978289174527</v>
          </cell>
          <cell r="E395">
            <v>6.968470045201693</v>
          </cell>
          <cell r="F395">
            <v>2.8128889625287608</v>
          </cell>
          <cell r="G395">
            <v>1.9847643855692203</v>
          </cell>
          <cell r="H395">
            <v>1.720336926430108</v>
          </cell>
          <cell r="I395">
            <v>1.5633581140466188</v>
          </cell>
          <cell r="J395"/>
          <cell r="K395"/>
        </row>
        <row r="396">
          <cell r="A396" t="str">
            <v>RHSA-WHDEM</v>
          </cell>
          <cell r="B396" t="str">
            <v>VAR_fin</v>
          </cell>
          <cell r="C396" t="str">
            <v>RHSA-WHSOL</v>
          </cell>
          <cell r="D396">
            <v>1.6639806253374252</v>
          </cell>
          <cell r="E396">
            <v>1.9868634156441165</v>
          </cell>
          <cell r="F396">
            <v>0.94929698381005745</v>
          </cell>
          <cell r="G396">
            <v>1.2547612913606525</v>
          </cell>
          <cell r="H396">
            <v>1.7526216118492541</v>
          </cell>
          <cell r="I396">
            <v>1.993332178781283</v>
          </cell>
          <cell r="J396"/>
          <cell r="K396"/>
        </row>
        <row r="397">
          <cell r="A397" t="str">
            <v>RHSA-WHDEM</v>
          </cell>
          <cell r="B397" t="str">
            <v>VAR_fin</v>
          </cell>
          <cell r="C397" t="str">
            <v>RHSA-WHELCH</v>
          </cell>
          <cell r="D397">
            <v>3.1111657028999615</v>
          </cell>
          <cell r="E397">
            <v>3.6352181733361855</v>
          </cell>
          <cell r="F397">
            <v>5.0742649690358084</v>
          </cell>
          <cell r="G397">
            <v>9.2072346755819243</v>
          </cell>
          <cell r="H397">
            <v>15.115612783580819</v>
          </cell>
          <cell r="I397">
            <v>17.805627499750205</v>
          </cell>
          <cell r="J397"/>
        </row>
        <row r="398">
          <cell r="A398" t="str">
            <v>RHSA-WHNGAHP</v>
          </cell>
          <cell r="B398" t="str">
            <v>VAR_fout</v>
          </cell>
          <cell r="C398" t="str">
            <v>RHSA-WHANGAH</v>
          </cell>
          <cell r="F398">
            <v>0.88876061504517834</v>
          </cell>
          <cell r="G398">
            <v>1.8078903543792646</v>
          </cell>
          <cell r="H398">
            <v>3.5206775927844172</v>
          </cell>
          <cell r="I398">
            <v>4.0536326686925026</v>
          </cell>
        </row>
        <row r="399">
          <cell r="A399" t="str">
            <v>RHSA-WHNGAHP</v>
          </cell>
          <cell r="B399" t="str">
            <v>VAR_fout</v>
          </cell>
          <cell r="C399" t="str">
            <v>CO2_R</v>
          </cell>
          <cell r="D399"/>
          <cell r="F399">
            <v>24.972817471324898</v>
          </cell>
          <cell r="G399">
            <v>44.314032456528601</v>
          </cell>
          <cell r="H399">
            <v>74.617044226138503</v>
          </cell>
          <cell r="I399">
            <v>71.476146505194393</v>
          </cell>
          <cell r="J399"/>
        </row>
        <row r="400">
          <cell r="A400" t="str">
            <v>RHSA-WHNGAHP</v>
          </cell>
          <cell r="B400" t="str">
            <v>VAR_fin</v>
          </cell>
          <cell r="C400" t="str">
            <v>RNGA</v>
          </cell>
          <cell r="F400">
            <v>0.44278045161923557</v>
          </cell>
          <cell r="G400">
            <v>0.78570979532852048</v>
          </cell>
          <cell r="H400">
            <v>1.3229972380521013</v>
          </cell>
          <cell r="I400">
            <v>1.2673075621488377</v>
          </cell>
          <cell r="J400"/>
        </row>
        <row r="401">
          <cell r="A401" t="str">
            <v>RHSA-WHNGAHP</v>
          </cell>
          <cell r="B401" t="str">
            <v>VAR_ncap</v>
          </cell>
          <cell r="C401" t="str">
            <v>-</v>
          </cell>
          <cell r="E401">
            <v>1.13550536990447E-7</v>
          </cell>
          <cell r="F401">
            <v>5.8855387067730899E-2</v>
          </cell>
          <cell r="G401">
            <v>6.0849503217253902E-2</v>
          </cell>
          <cell r="H401">
            <v>0.13169465025647201</v>
          </cell>
          <cell r="I401">
            <v>0.15613089365277399</v>
          </cell>
          <cell r="J401"/>
          <cell r="K401"/>
        </row>
        <row r="402">
          <cell r="A402" t="str">
            <v>RHSA-WHNGAHP</v>
          </cell>
          <cell r="B402" t="str">
            <v>VAR_cap</v>
          </cell>
          <cell r="C402" t="str">
            <v>-</v>
          </cell>
          <cell r="D402">
            <v>4.7729432218241499E-11</v>
          </cell>
          <cell r="E402">
            <v>-2.066437496267948E-7</v>
          </cell>
          <cell r="F402">
            <v>5.8855331562720922E-2</v>
          </cell>
          <cell r="G402">
            <v>0.1197048567869524</v>
          </cell>
          <cell r="H402">
            <v>0.24409637540629797</v>
          </cell>
          <cell r="I402">
            <v>0.2772625145294873</v>
          </cell>
          <cell r="J402"/>
          <cell r="K402"/>
        </row>
        <row r="403">
          <cell r="A403" t="str">
            <v>SCOM-SHSTG-ELCHP</v>
          </cell>
          <cell r="B403" t="str">
            <v>VAR_fout</v>
          </cell>
          <cell r="C403" t="str">
            <v>SCOM-SHAELCH</v>
          </cell>
          <cell r="D403">
            <v>3.0742489855795844E-5</v>
          </cell>
          <cell r="E403">
            <v>2.8226980850768591E-5</v>
          </cell>
          <cell r="F403">
            <v>3.3519219742839087E-5</v>
          </cell>
          <cell r="G403">
            <v>2.790195871145252E-5</v>
          </cell>
          <cell r="H403">
            <v>1.9039559870626627E-5</v>
          </cell>
          <cell r="I403">
            <v>6.1320537547978329E-6</v>
          </cell>
          <cell r="J403"/>
          <cell r="K403"/>
        </row>
        <row r="404">
          <cell r="A404" t="str">
            <v>SCOM-SHSTG-ELCHP</v>
          </cell>
          <cell r="B404" t="str">
            <v>VAR_fin</v>
          </cell>
          <cell r="C404" t="str">
            <v>SCOM-SHAELCH</v>
          </cell>
          <cell r="D404">
            <v>3.8120004917099864E-5</v>
          </cell>
          <cell r="E404">
            <v>3.2370823876750151E-5</v>
          </cell>
          <cell r="F404">
            <v>3.7463620899251573E-5</v>
          </cell>
          <cell r="G404">
            <v>3.1638944832738656E-5</v>
          </cell>
          <cell r="H404">
            <v>1.9641042727861112E-5</v>
          </cell>
          <cell r="I404">
            <v>4.9814957264806984E-6</v>
          </cell>
          <cell r="J404"/>
          <cell r="K404"/>
        </row>
        <row r="405">
          <cell r="A405" t="str">
            <v>SCOM-SHSTG-ELCHP</v>
          </cell>
          <cell r="B405" t="str">
            <v>VAR_ncap</v>
          </cell>
          <cell r="C405" t="str">
            <v>-</v>
          </cell>
          <cell r="D405">
            <v>7.23814361269161E-3</v>
          </cell>
          <cell r="E405">
            <v>9.4105351884270799E-2</v>
          </cell>
          <cell r="F405">
            <v>2.75810553449222E-5</v>
          </cell>
          <cell r="G405">
            <v>0.159594743165659</v>
          </cell>
          <cell r="H405">
            <v>0.20891256477754899</v>
          </cell>
          <cell r="I405">
            <v>0.27660125406691499</v>
          </cell>
          <cell r="J405"/>
          <cell r="K405"/>
        </row>
        <row r="406">
          <cell r="A406" t="str">
            <v>SCOM-SHSTG-ELCHP</v>
          </cell>
          <cell r="B406" t="str">
            <v>VAR_cap</v>
          </cell>
          <cell r="C406" t="str">
            <v>-</v>
          </cell>
          <cell r="D406">
            <v>7.23814361269161E-3</v>
          </cell>
          <cell r="E406">
            <v>0.10132150671026234</v>
          </cell>
          <cell r="F406">
            <v>0.10132039000704245</v>
          </cell>
          <cell r="G406">
            <v>0.26091027876934714</v>
          </cell>
          <cell r="H406">
            <v>0.45656699635683806</v>
          </cell>
          <cell r="I406">
            <v>0.48684785020061672</v>
          </cell>
          <cell r="J406"/>
          <cell r="K406"/>
        </row>
        <row r="407">
          <cell r="A407" t="str">
            <v>RHEM-SHLFOBR</v>
          </cell>
          <cell r="B407" t="str">
            <v>VAR_fout</v>
          </cell>
          <cell r="C407" t="str">
            <v>CO2_R</v>
          </cell>
          <cell r="D407">
            <v>1928.7115275732399</v>
          </cell>
          <cell r="E407">
            <v>1568.39458698054</v>
          </cell>
          <cell r="F407">
            <v>1674.81810465886</v>
          </cell>
          <cell r="G407">
            <v>822.38577725935102</v>
          </cell>
          <cell r="H407">
            <v>172.88809184395299</v>
          </cell>
          <cell r="I407">
            <v>6.9482375842181598</v>
          </cell>
          <cell r="K407"/>
        </row>
        <row r="408">
          <cell r="A408" t="str">
            <v>RHEM-SHLFOBR</v>
          </cell>
          <cell r="B408" t="str">
            <v>VAR_fout</v>
          </cell>
          <cell r="C408" t="str">
            <v>RHEM-SHLFO</v>
          </cell>
          <cell r="D408">
            <v>23.44374595365489</v>
          </cell>
          <cell r="E408">
            <v>19.064045465898698</v>
          </cell>
          <cell r="F408">
            <v>19.461434677637097</v>
          </cell>
          <cell r="G408">
            <v>9.7121433574898308</v>
          </cell>
          <cell r="H408">
            <v>2.0417594506401726</v>
          </cell>
          <cell r="I408">
            <v>8.2056720052618395E-2</v>
          </cell>
          <cell r="J408"/>
          <cell r="K408"/>
        </row>
        <row r="409">
          <cell r="A409" t="str">
            <v>RHEM-SHLFOBR</v>
          </cell>
          <cell r="B409" t="str">
            <v>VAR_fin</v>
          </cell>
          <cell r="C409" t="str">
            <v>RLFO</v>
          </cell>
          <cell r="D409">
            <v>26.169762925010104</v>
          </cell>
          <cell r="E409">
            <v>21.280794938677584</v>
          </cell>
          <cell r="F409">
            <v>22.724804676510981</v>
          </cell>
          <cell r="G409">
            <v>11.158558714509521</v>
          </cell>
          <cell r="H409">
            <v>2.3458357102300318</v>
          </cell>
          <cell r="I409">
            <v>9.4277307791291065E-2</v>
          </cell>
          <cell r="J409"/>
          <cell r="K409"/>
        </row>
        <row r="410">
          <cell r="A410" t="str">
            <v>RHEM-SHLFOBR</v>
          </cell>
          <cell r="B410" t="str">
            <v>VAR_ncap</v>
          </cell>
          <cell r="C410" t="str">
            <v>-</v>
          </cell>
          <cell r="E410">
            <v>7.6699927726964206E-8</v>
          </cell>
          <cell r="F410">
            <v>9.3523806800418602E-8</v>
          </cell>
          <cell r="G410">
            <v>1.3097897917834001E-7</v>
          </cell>
          <cell r="H410">
            <v>0.10054986749634</v>
          </cell>
          <cell r="I410">
            <v>8.5660581178726206E-8</v>
          </cell>
          <cell r="J410"/>
        </row>
        <row r="411">
          <cell r="A411" t="str">
            <v>RHEM-SHLFOBR</v>
          </cell>
          <cell r="B411" t="str">
            <v>VAR_cap</v>
          </cell>
          <cell r="C411" t="str">
            <v>-</v>
          </cell>
          <cell r="D411">
            <v>1.65587464377338</v>
          </cell>
          <cell r="E411">
            <v>1.5233125407190458</v>
          </cell>
          <cell r="F411">
            <v>1.5232065463121265</v>
          </cell>
          <cell r="G411">
            <v>1.5231517678899367</v>
          </cell>
          <cell r="H411">
            <v>0.14422587854447846</v>
          </cell>
          <cell r="I411">
            <v>9.6394047389417037E-3</v>
          </cell>
          <cell r="J411"/>
          <cell r="K411"/>
        </row>
        <row r="412">
          <cell r="A412" t="str">
            <v>RHES-SHNGAHP</v>
          </cell>
          <cell r="B412" t="str">
            <v>VAR_fout</v>
          </cell>
          <cell r="C412" t="str">
            <v>RHES-SHANGAH</v>
          </cell>
          <cell r="F412">
            <v>1.5666422275729699</v>
          </cell>
          <cell r="G412">
            <v>1.5060225093832555</v>
          </cell>
          <cell r="H412">
            <v>1.3253888088049455</v>
          </cell>
          <cell r="I412">
            <v>1.0943736816807172</v>
          </cell>
          <cell r="J412"/>
          <cell r="K412"/>
        </row>
        <row r="413">
          <cell r="A413" t="str">
            <v>RHES-SHNGAHP</v>
          </cell>
          <cell r="B413" t="str">
            <v>VAR_fout</v>
          </cell>
          <cell r="C413" t="str">
            <v>CO2_R</v>
          </cell>
          <cell r="F413">
            <v>49.185892086374899</v>
          </cell>
          <cell r="G413">
            <v>46.2370115006592</v>
          </cell>
          <cell r="H413">
            <v>37.813484020387001</v>
          </cell>
          <cell r="I413">
            <v>29.0810576744949</v>
          </cell>
          <cell r="J413"/>
          <cell r="K413"/>
        </row>
        <row r="414">
          <cell r="A414" t="str">
            <v>RHES-SHNGAHP</v>
          </cell>
          <cell r="B414" t="str">
            <v>VAR_fin</v>
          </cell>
          <cell r="C414" t="str">
            <v>RHESELCHPC</v>
          </cell>
          <cell r="F414">
            <v>1.5666422275729699</v>
          </cell>
          <cell r="G414">
            <v>1.5060225093832555</v>
          </cell>
          <cell r="H414">
            <v>1.3253888088049455</v>
          </cell>
          <cell r="I414">
            <v>1.0943736816807172</v>
          </cell>
        </row>
        <row r="415">
          <cell r="A415" t="str">
            <v>RHES-SHNGAHP</v>
          </cell>
          <cell r="B415" t="str">
            <v>VAR_fin</v>
          </cell>
          <cell r="C415" t="str">
            <v>RNGA</v>
          </cell>
          <cell r="F415">
            <v>0.87209028521941279</v>
          </cell>
          <cell r="G415">
            <v>0.81980516845140394</v>
          </cell>
          <cell r="H415">
            <v>0.67045184433310256</v>
          </cell>
          <cell r="I415">
            <v>0.51562158997331453</v>
          </cell>
        </row>
        <row r="416">
          <cell r="A416" t="str">
            <v>RHES-SHNGAHP</v>
          </cell>
          <cell r="B416" t="str">
            <v>VAR_ncap</v>
          </cell>
          <cell r="C416" t="str">
            <v>-</v>
          </cell>
          <cell r="E416">
            <v>2.12679422701406E-7</v>
          </cell>
          <cell r="F416">
            <v>0.12656389314923999</v>
          </cell>
          <cell r="G416">
            <v>3.7009876691785902E-8</v>
          </cell>
          <cell r="H416">
            <v>8.4666054842383195E-2</v>
          </cell>
          <cell r="I416">
            <v>2.70947988875005E-2</v>
          </cell>
          <cell r="J416"/>
          <cell r="K416"/>
        </row>
        <row r="417">
          <cell r="A417" t="str">
            <v>RHES-SHNGAHP</v>
          </cell>
          <cell r="B417" t="str">
            <v>VAR_cap</v>
          </cell>
          <cell r="C417" t="str">
            <v>-</v>
          </cell>
          <cell r="E417">
            <v>2.12679422701406E-7</v>
          </cell>
          <cell r="F417">
            <v>0.12656407989269319</v>
          </cell>
          <cell r="G417">
            <v>0.126561557349915</v>
          </cell>
          <cell r="H417">
            <v>0.1070833006123361</v>
          </cell>
          <cell r="I417">
            <v>8.8539786526669301E-2</v>
          </cell>
          <cell r="J417"/>
          <cell r="K417"/>
        </row>
        <row r="418">
          <cell r="A418" t="str">
            <v>D-RHES_LTH_CHPWOD</v>
          </cell>
          <cell r="B418" t="str">
            <v>VAR_fout</v>
          </cell>
          <cell r="C418" t="str">
            <v>RHES_LTH_CHPWOD_ON</v>
          </cell>
          <cell r="D418">
            <v>4.4149590782056983E-5</v>
          </cell>
          <cell r="E418">
            <v>4.1880166264874446E-5</v>
          </cell>
          <cell r="F418">
            <v>6.0236488880845531E-6</v>
          </cell>
          <cell r="H418">
            <v>5.8379832741625021E-4</v>
          </cell>
        </row>
        <row r="419">
          <cell r="A419" t="str">
            <v>D-RHES_LTH_CHPWOD</v>
          </cell>
          <cell r="B419" t="str">
            <v>VAR_fout</v>
          </cell>
          <cell r="C419" t="str">
            <v>RHSA_LTH</v>
          </cell>
          <cell r="D419">
            <v>3.2558792132021674E-5</v>
          </cell>
          <cell r="E419">
            <v>4.4889634749953591E-5</v>
          </cell>
          <cell r="F419">
            <v>2.3578538408332807E-5</v>
          </cell>
          <cell r="G419">
            <v>5.6783196966405563E-4</v>
          </cell>
          <cell r="H419">
            <v>6.2662845747557202E-4</v>
          </cell>
          <cell r="I419">
            <v>5.0019842305456521E-4</v>
          </cell>
        </row>
        <row r="420">
          <cell r="A420" t="str">
            <v>D-RHES_LTH_CHPWOD</v>
          </cell>
          <cell r="B420" t="str">
            <v>VAR_fout</v>
          </cell>
          <cell r="C420" t="str">
            <v>LTH</v>
          </cell>
          <cell r="H420">
            <v>5.3184615856982699E-7</v>
          </cell>
          <cell r="I420">
            <v>2.4011084545624052E-7</v>
          </cell>
          <cell r="J420"/>
          <cell r="K420"/>
        </row>
        <row r="421">
          <cell r="A421" t="str">
            <v>D-RHES_LTH_CHPWOD</v>
          </cell>
          <cell r="B421" t="str">
            <v>VAR_fin</v>
          </cell>
          <cell r="C421" t="str">
            <v>RHES_LTH_CHPWOD</v>
          </cell>
          <cell r="D421">
            <v>7.6708382914078657E-5</v>
          </cell>
          <cell r="E421">
            <v>8.8238980631265932E-5</v>
          </cell>
          <cell r="F421">
            <v>3.0445552017421964E-5</v>
          </cell>
          <cell r="G421">
            <v>5.6830889416816768E-4</v>
          </cell>
          <cell r="H421">
            <v>1.2123208271837124E-3</v>
          </cell>
          <cell r="I421">
            <v>5.0128566338024513E-4</v>
          </cell>
          <cell r="J421"/>
          <cell r="K421"/>
        </row>
        <row r="422">
          <cell r="A422" t="str">
            <v>ITOT-SWHSOLBR</v>
          </cell>
          <cell r="B422" t="str">
            <v>VAR_fout</v>
          </cell>
          <cell r="C422" t="str">
            <v>ITOT-SWHASOL</v>
          </cell>
          <cell r="D422">
            <v>6.7668994804272242E-2</v>
          </cell>
          <cell r="E422">
            <v>8.5497785886961844E-2</v>
          </cell>
          <cell r="F422">
            <v>8.4471828299331891E-2</v>
          </cell>
          <cell r="G422">
            <v>8.579246010832263E-2</v>
          </cell>
          <cell r="H422">
            <v>5.8900805200172872E-2</v>
          </cell>
          <cell r="I422">
            <v>5.3138093429456315E-2</v>
          </cell>
        </row>
        <row r="423">
          <cell r="A423" t="str">
            <v>ITOT-SWHSOLBR</v>
          </cell>
          <cell r="B423" t="str">
            <v>VAR_fin</v>
          </cell>
          <cell r="C423" t="str">
            <v>SOL</v>
          </cell>
          <cell r="D423">
            <v>6.7668994804272242E-2</v>
          </cell>
          <cell r="E423">
            <v>8.5497785886961844E-2</v>
          </cell>
          <cell r="F423">
            <v>8.4471828299331891E-2</v>
          </cell>
          <cell r="G423">
            <v>8.579246010832263E-2</v>
          </cell>
          <cell r="H423">
            <v>5.8900805200172872E-2</v>
          </cell>
          <cell r="I423">
            <v>5.3138093429456315E-2</v>
          </cell>
        </row>
        <row r="424">
          <cell r="A424" t="str">
            <v>ITOT-SWHSOLBR</v>
          </cell>
          <cell r="B424" t="str">
            <v>VAR_ncap</v>
          </cell>
          <cell r="C424" t="str">
            <v>-</v>
          </cell>
          <cell r="E424">
            <v>2.64352955984094E-3</v>
          </cell>
          <cell r="F424">
            <v>4.9061278376988597E-8</v>
          </cell>
          <cell r="G424">
            <v>4.6406016799594103E-8</v>
          </cell>
          <cell r="H424">
            <v>3.8993786209741599E-3</v>
          </cell>
          <cell r="I424">
            <v>6.0079928349414703E-3</v>
          </cell>
          <cell r="J424"/>
          <cell r="K424"/>
        </row>
        <row r="425">
          <cell r="A425" t="str">
            <v>ITOT-SWHSOLBR</v>
          </cell>
          <cell r="B425" t="str">
            <v>VAR_cap</v>
          </cell>
          <cell r="C425" t="str">
            <v>-</v>
          </cell>
          <cell r="D425">
            <v>9.8214799778629808E-3</v>
          </cell>
          <cell r="E425">
            <v>1.246500953770392E-2</v>
          </cell>
          <cell r="F425">
            <v>1.246505859898229E-2</v>
          </cell>
          <cell r="G425">
            <v>1.246510500499909E-2</v>
          </cell>
          <cell r="H425">
            <v>1.2461008862595199E-2</v>
          </cell>
          <cell r="I425">
            <v>1.24594093390238E-2</v>
          </cell>
          <cell r="J425"/>
          <cell r="K425"/>
        </row>
        <row r="426">
          <cell r="A426" t="str">
            <v>SCOM-SHNGAHP</v>
          </cell>
          <cell r="B426" t="str">
            <v>VAR_fout</v>
          </cell>
          <cell r="C426" t="str">
            <v>SCOM-SHANGAH</v>
          </cell>
          <cell r="F426">
            <v>1.8168677599848411</v>
          </cell>
          <cell r="G426">
            <v>3.0961173241548132</v>
          </cell>
          <cell r="H426">
            <v>5.1038469708746392</v>
          </cell>
          <cell r="I426">
            <v>5.1646532425811014</v>
          </cell>
        </row>
        <row r="427">
          <cell r="A427" t="str">
            <v>SCOM-SHNGAHP</v>
          </cell>
          <cell r="B427" t="str">
            <v>VAR_fout</v>
          </cell>
          <cell r="C427" t="str">
            <v>CO2_S</v>
          </cell>
          <cell r="F427">
            <v>53.1116342613388</v>
          </cell>
          <cell r="G427">
            <v>85.763219187342003</v>
          </cell>
          <cell r="H427">
            <v>131.21331972739901</v>
          </cell>
          <cell r="I427">
            <v>121.661369228295</v>
          </cell>
        </row>
        <row r="428">
          <cell r="A428" t="str">
            <v>SCOM-SHNGAHP</v>
          </cell>
          <cell r="B428" t="str">
            <v>VAR_fin</v>
          </cell>
          <cell r="C428" t="str">
            <v>SCOMELCHPC</v>
          </cell>
          <cell r="F428">
            <v>1.8168677599848411</v>
          </cell>
          <cell r="G428">
            <v>3.0961173241548132</v>
          </cell>
          <cell r="H428">
            <v>5.1038469708746392</v>
          </cell>
          <cell r="I428">
            <v>5.1646532425811014</v>
          </cell>
          <cell r="J428"/>
          <cell r="K428"/>
        </row>
        <row r="429">
          <cell r="A429" t="str">
            <v>SCOM-SHNGAHP</v>
          </cell>
          <cell r="B429" t="str">
            <v>VAR_fin</v>
          </cell>
          <cell r="C429" t="str">
            <v>SNGA</v>
          </cell>
          <cell r="F429">
            <v>0.94169564293154029</v>
          </cell>
          <cell r="G429">
            <v>1.5206244536762781</v>
          </cell>
          <cell r="H429">
            <v>2.3264773001311947</v>
          </cell>
          <cell r="I429">
            <v>2.1571164756789956</v>
          </cell>
          <cell r="K429"/>
        </row>
        <row r="430">
          <cell r="A430" t="str">
            <v>SCOM-SHNGAHP</v>
          </cell>
          <cell r="B430" t="str">
            <v>VAR_ncap</v>
          </cell>
          <cell r="C430" t="str">
            <v>-</v>
          </cell>
          <cell r="D430">
            <v>2.22575377862235E-7</v>
          </cell>
          <cell r="E430">
            <v>1.25790858558384E-5</v>
          </cell>
          <cell r="F430">
            <v>0.14045232457875301</v>
          </cell>
          <cell r="G430">
            <v>9.8873389206483697E-2</v>
          </cell>
          <cell r="H430">
            <v>0.23001615430528199</v>
          </cell>
          <cell r="I430">
            <v>0.21025596686845099</v>
          </cell>
          <cell r="K430"/>
        </row>
        <row r="431">
          <cell r="A431" t="str">
            <v>SCOM-SHNGAHP</v>
          </cell>
          <cell r="B431" t="str">
            <v>VAR_cap</v>
          </cell>
          <cell r="C431" t="str">
            <v>-</v>
          </cell>
          <cell r="D431">
            <v>2.22575377862235E-7</v>
          </cell>
          <cell r="E431">
            <v>1.2678633408600079E-5</v>
          </cell>
          <cell r="F431">
            <v>0.14046490482692023</v>
          </cell>
          <cell r="G431">
            <v>0.23933827261696863</v>
          </cell>
          <cell r="H431">
            <v>0.39664334669633611</v>
          </cell>
          <cell r="I431">
            <v>0.40858142070521247</v>
          </cell>
          <cell r="K431"/>
        </row>
        <row r="432">
          <cell r="A432" t="str">
            <v>RHNS-SHNGABR</v>
          </cell>
          <cell r="B432" t="str">
            <v>VAR_fout</v>
          </cell>
          <cell r="C432" t="str">
            <v>CO2_R</v>
          </cell>
          <cell r="E432">
            <v>6.0646388418531796</v>
          </cell>
          <cell r="F432">
            <v>2.1226883564068402</v>
          </cell>
          <cell r="G432">
            <v>2.8931344083295998</v>
          </cell>
          <cell r="H432">
            <v>3.0016406525284198</v>
          </cell>
          <cell r="I432">
            <v>1.8542449609768601</v>
          </cell>
          <cell r="K432"/>
        </row>
        <row r="433">
          <cell r="A433" t="str">
            <v>RHNS-SHNGABR</v>
          </cell>
          <cell r="B433" t="str">
            <v>VAR_fout</v>
          </cell>
          <cell r="C433" t="str">
            <v>RHNS-SHNGA</v>
          </cell>
          <cell r="E433">
            <v>0.10215260460568303</v>
          </cell>
          <cell r="F433">
            <v>3.6126912833709564E-2</v>
          </cell>
          <cell r="G433">
            <v>4.9239453483814609E-2</v>
          </cell>
          <cell r="H433">
            <v>5.1086166221580548E-2</v>
          </cell>
          <cell r="I433">
            <v>3.1558163437118848E-2</v>
          </cell>
          <cell r="K433"/>
        </row>
        <row r="434">
          <cell r="A434" t="str">
            <v>RHNS-SHNGABR</v>
          </cell>
          <cell r="B434" t="str">
            <v>VAR_fin</v>
          </cell>
          <cell r="C434" t="str">
            <v>RNGA</v>
          </cell>
          <cell r="E434">
            <v>0.10752905747966626</v>
          </cell>
          <cell r="F434">
            <v>3.7636318376007817E-2</v>
          </cell>
          <cell r="G434">
            <v>5.1296709367546114E-2</v>
          </cell>
          <cell r="H434">
            <v>5.3220578945539401E-2</v>
          </cell>
          <cell r="I434">
            <v>3.287668370526349E-2</v>
          </cell>
          <cell r="K434"/>
        </row>
        <row r="435">
          <cell r="A435" t="str">
            <v>RHNS-SHNGABR</v>
          </cell>
          <cell r="B435" t="str">
            <v>VAR_ncap</v>
          </cell>
          <cell r="C435" t="str">
            <v>-</v>
          </cell>
          <cell r="E435">
            <v>7.4740641417542402E-3</v>
          </cell>
          <cell r="F435">
            <v>1.8858800531045101E-7</v>
          </cell>
          <cell r="G435">
            <v>1.8080609198743699E-7</v>
          </cell>
          <cell r="H435">
            <v>3.7219829148578999E-3</v>
          </cell>
          <cell r="I435">
            <v>4.7386666455213903E-7</v>
          </cell>
          <cell r="J435"/>
          <cell r="K435"/>
        </row>
        <row r="436">
          <cell r="A436" t="str">
            <v>RHNS-SHNGABR</v>
          </cell>
          <cell r="B436" t="str">
            <v>VAR_cap</v>
          </cell>
          <cell r="C436" t="str">
            <v>-</v>
          </cell>
          <cell r="E436">
            <v>7.4740641417542402E-3</v>
          </cell>
          <cell r="F436">
            <v>7.4731643021276085E-3</v>
          </cell>
          <cell r="G436">
            <v>7.4723682361788439E-3</v>
          </cell>
          <cell r="H436">
            <v>3.7455527864596948E-3</v>
          </cell>
          <cell r="I436">
            <v>2.7111202105556229E-3</v>
          </cell>
          <cell r="J436"/>
          <cell r="K436"/>
        </row>
        <row r="437">
          <cell r="A437" t="str">
            <v>D-RHNM_LTH_CHPNGA</v>
          </cell>
          <cell r="B437" t="str">
            <v>VAR_fout</v>
          </cell>
          <cell r="C437" t="str">
            <v>RHSA_LTH</v>
          </cell>
          <cell r="D437">
            <v>3.011902037119129E-5</v>
          </cell>
          <cell r="E437">
            <v>4.0257869172756283E-2</v>
          </cell>
          <cell r="F437">
            <v>2.9316628828555225E-2</v>
          </cell>
          <cell r="G437">
            <v>0.33275698275931215</v>
          </cell>
          <cell r="H437">
            <v>0.1102261503817827</v>
          </cell>
          <cell r="I437">
            <v>2.1326262145622977E-5</v>
          </cell>
          <cell r="J437"/>
          <cell r="K437"/>
        </row>
        <row r="438">
          <cell r="A438" t="str">
            <v>D-RHNM_LTH_CHPNGA</v>
          </cell>
          <cell r="B438" t="str">
            <v>VAR_fout</v>
          </cell>
          <cell r="C438" t="str">
            <v>LTH</v>
          </cell>
          <cell r="E438">
            <v>9.9768055426393141E-6</v>
          </cell>
          <cell r="F438">
            <v>2.5117011465621479E-5</v>
          </cell>
          <cell r="G438">
            <v>8.8219040334857284E-5</v>
          </cell>
          <cell r="H438">
            <v>1.2675883398427436E-4</v>
          </cell>
          <cell r="I438">
            <v>1.3553169987648276E-5</v>
          </cell>
          <cell r="J438"/>
          <cell r="K438"/>
        </row>
        <row r="439">
          <cell r="A439" t="str">
            <v>D-RHNM_LTH_CHPNGA</v>
          </cell>
          <cell r="B439" t="str">
            <v>VAR_fout</v>
          </cell>
          <cell r="C439" t="str">
            <v>RHNM_LTH_CHPNGA_ON</v>
          </cell>
          <cell r="D439">
            <v>5.681829829709196E-5</v>
          </cell>
          <cell r="E439">
            <v>4.47318133474763E-2</v>
          </cell>
          <cell r="F439">
            <v>5.4607205011414334E-2</v>
          </cell>
          <cell r="H439">
            <v>5.666998883586101E-2</v>
          </cell>
          <cell r="I439">
            <v>7.9123023787814747E-6</v>
          </cell>
          <cell r="K439"/>
        </row>
        <row r="440">
          <cell r="A440" t="str">
            <v>D-RHNM_LTH_CHPNGA</v>
          </cell>
          <cell r="B440" t="str">
            <v>VAR_fin</v>
          </cell>
          <cell r="C440" t="str">
            <v>RHNM_LTH_CHPNGA</v>
          </cell>
          <cell r="D440">
            <v>8.6937318668283206E-5</v>
          </cell>
          <cell r="E440">
            <v>8.4999942092456135E-2</v>
          </cell>
          <cell r="F440">
            <v>8.3949061491325597E-2</v>
          </cell>
          <cell r="G440">
            <v>0.33284520179964733</v>
          </cell>
          <cell r="H440">
            <v>0.16702307677417377</v>
          </cell>
          <cell r="I440">
            <v>4.2791734512052686E-5</v>
          </cell>
        </row>
        <row r="441">
          <cell r="A441" t="str">
            <v>RHNM-SHELCHP</v>
          </cell>
          <cell r="B441" t="str">
            <v>VAR_fout</v>
          </cell>
          <cell r="C441" t="str">
            <v>RHNM-SHAELCH</v>
          </cell>
          <cell r="E441">
            <v>1.0940282021653706E-4</v>
          </cell>
          <cell r="F441">
            <v>0.94010128128906234</v>
          </cell>
          <cell r="G441">
            <v>1.5877090405563627</v>
          </cell>
          <cell r="H441">
            <v>2.546118277488493</v>
          </cell>
          <cell r="I441">
            <v>3.1714491883595244</v>
          </cell>
        </row>
        <row r="442">
          <cell r="A442" t="str">
            <v>RHNM-SHELCHP</v>
          </cell>
          <cell r="B442" t="str">
            <v>VAR_fin</v>
          </cell>
          <cell r="C442" t="str">
            <v>RHNM_ELC</v>
          </cell>
          <cell r="E442">
            <v>3.3627916050165073E-5</v>
          </cell>
          <cell r="F442">
            <v>0.28011514294893469</v>
          </cell>
          <cell r="G442">
            <v>0.4402270166152249</v>
          </cell>
          <cell r="H442">
            <v>0.65089090296501673</v>
          </cell>
          <cell r="I442">
            <v>0.75771293854696709</v>
          </cell>
          <cell r="K442"/>
        </row>
        <row r="443">
          <cell r="A443" t="str">
            <v>RHNM-SHELCHP</v>
          </cell>
          <cell r="B443" t="str">
            <v>VAR_fin</v>
          </cell>
          <cell r="C443" t="str">
            <v>RHNMELCHPC</v>
          </cell>
          <cell r="E443">
            <v>1.0940282021653706E-4</v>
          </cell>
          <cell r="F443">
            <v>0.94010128128906234</v>
          </cell>
          <cell r="G443">
            <v>1.5877090405563627</v>
          </cell>
          <cell r="H443">
            <v>2.546118277488493</v>
          </cell>
          <cell r="I443">
            <v>3.1714491883595244</v>
          </cell>
          <cell r="J443"/>
          <cell r="K443"/>
        </row>
        <row r="444">
          <cell r="A444" t="str">
            <v>RHNM-SHELCHP</v>
          </cell>
          <cell r="B444" t="str">
            <v>VAR_ncap</v>
          </cell>
          <cell r="C444" t="str">
            <v>-</v>
          </cell>
          <cell r="E444">
            <v>4.4464643985784498E-5</v>
          </cell>
          <cell r="F444">
            <v>7.2957659226778299E-2</v>
          </cell>
          <cell r="G444">
            <v>5.0292986116301702E-2</v>
          </cell>
          <cell r="H444">
            <v>0.109938007798942</v>
          </cell>
          <cell r="I444">
            <v>0.149087852538409</v>
          </cell>
        </row>
        <row r="445">
          <cell r="A445" t="str">
            <v>RHNM-SHELCHP</v>
          </cell>
          <cell r="B445" t="str">
            <v>VAR_cap</v>
          </cell>
          <cell r="C445" t="str">
            <v>-</v>
          </cell>
          <cell r="E445">
            <v>4.4464643985784498E-5</v>
          </cell>
          <cell r="F445">
            <v>7.3002019251525455E-2</v>
          </cell>
          <cell r="G445">
            <v>0.12329465086409885</v>
          </cell>
          <cell r="H445">
            <v>0.1981601915588056</v>
          </cell>
          <cell r="I445">
            <v>0.24619532970012825</v>
          </cell>
        </row>
        <row r="446">
          <cell r="A446" t="str">
            <v>D-IH2R</v>
          </cell>
          <cell r="B446" t="str">
            <v>VAR_fout</v>
          </cell>
          <cell r="C446" t="str">
            <v>IH2</v>
          </cell>
          <cell r="G446">
            <v>3.0939847773113209E-3</v>
          </cell>
          <cell r="H446">
            <v>4.6604982436443407</v>
          </cell>
          <cell r="I446">
            <v>7.3046087449321622</v>
          </cell>
          <cell r="J446"/>
          <cell r="K446"/>
        </row>
        <row r="447">
          <cell r="A447" t="str">
            <v>D-IH2R</v>
          </cell>
          <cell r="B447" t="str">
            <v>VAR_fin</v>
          </cell>
          <cell r="C447" t="str">
            <v>H2</v>
          </cell>
          <cell r="G447">
            <v>3.0939847773113209E-3</v>
          </cell>
          <cell r="H447">
            <v>4.6604982436443407</v>
          </cell>
          <cell r="I447">
            <v>7.3046087449321622</v>
          </cell>
        </row>
        <row r="448">
          <cell r="A448" t="str">
            <v>D-IH2R</v>
          </cell>
          <cell r="B448" t="str">
            <v>VAR_ncap</v>
          </cell>
          <cell r="C448" t="str">
            <v>-</v>
          </cell>
          <cell r="G448">
            <v>1.7658170655340501E-4</v>
          </cell>
          <cell r="H448">
            <v>0.14286529521227601</v>
          </cell>
          <cell r="I448">
            <v>0.20843014181036301</v>
          </cell>
        </row>
        <row r="449">
          <cell r="A449" t="str">
            <v>D-IH2R</v>
          </cell>
          <cell r="B449" t="str">
            <v>VAR_cap</v>
          </cell>
          <cell r="C449" t="str">
            <v>-</v>
          </cell>
          <cell r="G449">
            <v>1.7658170655340501E-4</v>
          </cell>
          <cell r="H449">
            <v>0.16577352918548299</v>
          </cell>
          <cell r="I449">
            <v>0.25736454084297</v>
          </cell>
        </row>
        <row r="450">
          <cell r="A450" t="str">
            <v>RHEM-SHSTG-ELC</v>
          </cell>
          <cell r="B450" t="str">
            <v>VAR_fout</v>
          </cell>
          <cell r="C450" t="str">
            <v>RHEM-SHAELCB</v>
          </cell>
          <cell r="D450">
            <v>8.8494700805144504E-8</v>
          </cell>
          <cell r="E450">
            <v>0.7607995713476845</v>
          </cell>
          <cell r="F450">
            <v>8.3472788053137147E-3</v>
          </cell>
          <cell r="G450">
            <v>2.1990749107020308E-3</v>
          </cell>
          <cell r="H450">
            <v>2.9141650317076836E-4</v>
          </cell>
          <cell r="I450">
            <v>2.1751554021227522E-4</v>
          </cell>
        </row>
        <row r="451">
          <cell r="A451" t="str">
            <v>RHEM-SHSTG-ELC</v>
          </cell>
          <cell r="B451" t="str">
            <v>VAR_fin</v>
          </cell>
          <cell r="C451" t="str">
            <v>RHEM-SHAELCB</v>
          </cell>
          <cell r="D451">
            <v>1.879318489455643E-5</v>
          </cell>
          <cell r="E451">
            <v>0.76083488382710152</v>
          </cell>
          <cell r="F451">
            <v>8.3465195403577101E-3</v>
          </cell>
          <cell r="G451">
            <v>2.199027979630824E-3</v>
          </cell>
          <cell r="H451">
            <v>2.9354271464348213E-4</v>
          </cell>
          <cell r="I451">
            <v>2.1883754175259243E-4</v>
          </cell>
        </row>
        <row r="452">
          <cell r="A452" t="str">
            <v>RHEM-SHSTG-ELC</v>
          </cell>
          <cell r="B452" t="str">
            <v>VAR_ncap</v>
          </cell>
          <cell r="C452" t="str">
            <v>-</v>
          </cell>
          <cell r="D452">
            <v>6.4757961497833999E-3</v>
          </cell>
          <cell r="E452">
            <v>7.0426779669181705E-2</v>
          </cell>
          <cell r="F452">
            <v>4.8880123839852901E-6</v>
          </cell>
          <cell r="G452">
            <v>9.02954136840628E-6</v>
          </cell>
          <cell r="H452">
            <v>5.4364874441205802E-5</v>
          </cell>
          <cell r="I452">
            <v>1.19935786710668E-5</v>
          </cell>
        </row>
        <row r="453">
          <cell r="A453" t="str">
            <v>RHEM-SHSTG-ELC</v>
          </cell>
          <cell r="B453" t="str">
            <v>VAR_cap</v>
          </cell>
          <cell r="C453" t="str">
            <v>-</v>
          </cell>
          <cell r="D453">
            <v>6.4757961497833999E-3</v>
          </cell>
          <cell r="E453">
            <v>7.6892714311612015E-2</v>
          </cell>
          <cell r="F453">
            <v>1.0444885258805992E-3</v>
          </cell>
          <cell r="G453">
            <v>3.0894112310210498E-4</v>
          </cell>
          <cell r="H453">
            <v>6.2149318815190899E-5</v>
          </cell>
          <cell r="I453">
            <v>4.4401050348841901E-5</v>
          </cell>
        </row>
        <row r="454">
          <cell r="A454" t="str">
            <v>RHNM-SHLTHCHPWOD</v>
          </cell>
          <cell r="B454" t="str">
            <v>VAR_ncap</v>
          </cell>
          <cell r="C454" t="str">
            <v>-</v>
          </cell>
          <cell r="G454">
            <v>1.8276322274041101E-4</v>
          </cell>
          <cell r="H454">
            <v>7.9114038207498596E-3</v>
          </cell>
          <cell r="I454">
            <v>4.7964081389429598E-3</v>
          </cell>
        </row>
        <row r="455">
          <cell r="A455" t="str">
            <v>RHNM-SHLTHCHPWOD</v>
          </cell>
          <cell r="B455" t="str">
            <v>VAR_cap</v>
          </cell>
          <cell r="C455" t="str">
            <v>-</v>
          </cell>
          <cell r="G455">
            <v>1.8276322274041101E-4</v>
          </cell>
          <cell r="H455">
            <v>1.214167612689732E-2</v>
          </cell>
          <cell r="I455">
            <v>8.5611741340492296E-3</v>
          </cell>
        </row>
        <row r="456">
          <cell r="A456" t="str">
            <v>ITOT-SWHDEM</v>
          </cell>
          <cell r="B456" t="str">
            <v>VAR_fout</v>
          </cell>
          <cell r="C456" t="str">
            <v>ITOT-SWHD</v>
          </cell>
          <cell r="D456">
            <v>72.708169056255471</v>
          </cell>
          <cell r="E456">
            <v>74.35269248141455</v>
          </cell>
          <cell r="F456">
            <v>76.056874973524643</v>
          </cell>
          <cell r="G456">
            <v>76.929606955504823</v>
          </cell>
          <cell r="H456">
            <v>77.96073095591602</v>
          </cell>
          <cell r="I456">
            <v>78.598724303069758</v>
          </cell>
        </row>
        <row r="457">
          <cell r="A457" t="str">
            <v>ITOT-SWHDEM</v>
          </cell>
          <cell r="B457" t="str">
            <v>VAR_fin</v>
          </cell>
          <cell r="C457" t="str">
            <v>ITOT-SWHNGAH</v>
          </cell>
          <cell r="F457">
            <v>8.9427029244095665E-3</v>
          </cell>
          <cell r="G457">
            <v>9.6752965697946801E-3</v>
          </cell>
          <cell r="H457">
            <v>9.9379498325153446E-3</v>
          </cell>
          <cell r="I457">
            <v>1.0012407677076772E-2</v>
          </cell>
        </row>
        <row r="458">
          <cell r="A458" t="str">
            <v>ITOT-SWHDEM</v>
          </cell>
          <cell r="B458" t="str">
            <v>VAR_fin</v>
          </cell>
          <cell r="C458" t="str">
            <v>ITOT-SWH</v>
          </cell>
          <cell r="D458">
            <v>61.718424861269945</v>
          </cell>
          <cell r="E458">
            <v>58.487769323999778</v>
          </cell>
          <cell r="F458">
            <v>59.935911034262446</v>
          </cell>
          <cell r="G458">
            <v>54.717124796666418</v>
          </cell>
          <cell r="H458">
            <v>48.5813248444558</v>
          </cell>
          <cell r="I458">
            <v>48.855803206404069</v>
          </cell>
        </row>
        <row r="459">
          <cell r="A459" t="str">
            <v>ITOT-SWHDEM</v>
          </cell>
          <cell r="B459" t="str">
            <v>VAR_fin</v>
          </cell>
          <cell r="C459" t="str">
            <v>ITOT-SWHELCH</v>
          </cell>
          <cell r="D459">
            <v>1.1081275654045448</v>
          </cell>
          <cell r="E459">
            <v>1.4007923594460154</v>
          </cell>
          <cell r="F459">
            <v>1.6839358603288708</v>
          </cell>
          <cell r="G459">
            <v>5.8086034662867956</v>
          </cell>
          <cell r="H459">
            <v>5.7999256442686526</v>
          </cell>
          <cell r="I459">
            <v>5.8065665528962054</v>
          </cell>
        </row>
        <row r="460">
          <cell r="A460" t="str">
            <v>ITOT-SWHDEM</v>
          </cell>
          <cell r="B460" t="str">
            <v>VAR_fin</v>
          </cell>
          <cell r="C460" t="str">
            <v>ITOT-SWHC</v>
          </cell>
          <cell r="E460">
            <v>4.0436366833478665</v>
          </cell>
          <cell r="F460">
            <v>4.0436403047379867</v>
          </cell>
          <cell r="G460">
            <v>5.9734845400868677</v>
          </cell>
          <cell r="H460">
            <v>13.272451163687913</v>
          </cell>
          <cell r="I460">
            <v>13.622386588464856</v>
          </cell>
        </row>
        <row r="461">
          <cell r="A461" t="str">
            <v>ITOT-SWHDEM</v>
          </cell>
          <cell r="B461" t="str">
            <v>VAR_fin</v>
          </cell>
          <cell r="C461" t="str">
            <v>ITOT-SWHELC</v>
          </cell>
          <cell r="D461">
            <v>9.813923273872323</v>
          </cell>
          <cell r="E461">
            <v>10.335084802813913</v>
          </cell>
          <cell r="F461">
            <v>10.300076781448562</v>
          </cell>
          <cell r="G461">
            <v>10.334987069215387</v>
          </cell>
          <cell r="H461">
            <v>10.238476155869735</v>
          </cell>
          <cell r="I461">
            <v>10.251055287309596</v>
          </cell>
        </row>
        <row r="462">
          <cell r="A462" t="str">
            <v>ITOT-SWHDEM</v>
          </cell>
          <cell r="B462" t="str">
            <v>VAR_fin</v>
          </cell>
          <cell r="C462" t="str">
            <v>ITOT-SWHSOL</v>
          </cell>
          <cell r="D462">
            <v>6.7693355708696515E-2</v>
          </cell>
          <cell r="E462">
            <v>8.5543219287645203E-2</v>
          </cell>
          <cell r="F462">
            <v>8.4533511078991069E-2</v>
          </cell>
          <cell r="G462">
            <v>8.5848749034967267E-2</v>
          </cell>
          <cell r="H462">
            <v>5.887282821084857E-2</v>
          </cell>
          <cell r="I462">
            <v>5.3146258610303775E-2</v>
          </cell>
        </row>
        <row r="463">
          <cell r="A463" t="str">
            <v>D-RHNS_NKEV_GAS_ELC_CHP</v>
          </cell>
          <cell r="B463" t="str">
            <v>VAR_fout</v>
          </cell>
          <cell r="C463" t="str">
            <v>RHNS_ELC</v>
          </cell>
          <cell r="E463">
            <v>2.1977472054844058E-4</v>
          </cell>
          <cell r="F463">
            <v>6.3165228945562019E-4</v>
          </cell>
          <cell r="G463">
            <v>7.0798944164144576E-4</v>
          </cell>
          <cell r="H463">
            <v>3.7162633400511671E-4</v>
          </cell>
        </row>
        <row r="464">
          <cell r="A464" t="str">
            <v>D-RHNS_NKEV_GAS_ELC_CHP</v>
          </cell>
          <cell r="B464" t="str">
            <v>VAR_fout</v>
          </cell>
          <cell r="C464" t="str">
            <v>ELC5</v>
          </cell>
          <cell r="E464">
            <v>2.1973104041150658E-4</v>
          </cell>
          <cell r="F464">
            <v>6.3192525823743727E-4</v>
          </cell>
          <cell r="G464">
            <v>7.0822893949696166E-4</v>
          </cell>
          <cell r="H464">
            <v>3.7168705742115767E-4</v>
          </cell>
        </row>
        <row r="465">
          <cell r="A465" t="str">
            <v>D-RHNS_NKEV_GAS_ELC_CHP</v>
          </cell>
          <cell r="B465" t="str">
            <v>VAR_fin</v>
          </cell>
          <cell r="C465" t="str">
            <v>RHNS_NKEV_GAS_ELC_CHP</v>
          </cell>
          <cell r="E465">
            <v>4.3950576095994678E-4</v>
          </cell>
          <cell r="F465">
            <v>1.2542406896374624E-3</v>
          </cell>
          <cell r="G465">
            <v>1.4086055985050086E-3</v>
          </cell>
          <cell r="H465">
            <v>7.3209358733878271E-4</v>
          </cell>
        </row>
        <row r="466">
          <cell r="A466" t="str">
            <v>RHNM-SHSTG-NGAHP</v>
          </cell>
          <cell r="B466" t="str">
            <v>VAR_fout</v>
          </cell>
          <cell r="C466" t="str">
            <v>RHNM-SHANGAH</v>
          </cell>
          <cell r="F466">
            <v>1.5017262480680851E-2</v>
          </cell>
          <cell r="G466">
            <v>3.313748384845619E-2</v>
          </cell>
          <cell r="H466">
            <v>8.3807948009846048E-2</v>
          </cell>
          <cell r="I466">
            <v>8.2712871233438803E-2</v>
          </cell>
        </row>
        <row r="467">
          <cell r="A467" t="str">
            <v>RHNM-SHSTG-NGAHP</v>
          </cell>
          <cell r="B467" t="str">
            <v>VAR_fin</v>
          </cell>
          <cell r="C467" t="str">
            <v>RHNM-SHANGAH</v>
          </cell>
          <cell r="F467">
            <v>1.5059515585117684E-2</v>
          </cell>
          <cell r="G467">
            <v>3.3174687350664693E-2</v>
          </cell>
          <cell r="H467">
            <v>8.3836329774113885E-2</v>
          </cell>
          <cell r="I467">
            <v>8.2740632501174124E-2</v>
          </cell>
        </row>
        <row r="468">
          <cell r="A468" t="str">
            <v>RHNM-SHSTG-NGAHP</v>
          </cell>
          <cell r="B468" t="str">
            <v>VAR_ncap</v>
          </cell>
          <cell r="C468" t="str">
            <v>-</v>
          </cell>
          <cell r="D468">
            <v>7.0348031525830301E-6</v>
          </cell>
          <cell r="E468">
            <v>8.1701585357899101E-6</v>
          </cell>
          <cell r="F468">
            <v>4.9615271942199703E-3</v>
          </cell>
          <cell r="G468">
            <v>6.56260254178841E-3</v>
          </cell>
          <cell r="H468">
            <v>1.0588060652154599E-2</v>
          </cell>
          <cell r="I468">
            <v>1.4969934005013501E-2</v>
          </cell>
        </row>
        <row r="469">
          <cell r="A469" t="str">
            <v>RHNM-SHSTG-NGAHP</v>
          </cell>
          <cell r="B469" t="str">
            <v>VAR_cap</v>
          </cell>
          <cell r="C469" t="str">
            <v>-</v>
          </cell>
          <cell r="D469">
            <v>7.0348031525830301E-6</v>
          </cell>
          <cell r="E469">
            <v>1.0802276130400998E-6</v>
          </cell>
          <cell r="F469">
            <v>4.9585714696071259E-3</v>
          </cell>
          <cell r="G469">
            <v>1.151596571661807E-2</v>
          </cell>
          <cell r="H469">
            <v>2.1100387488197526E-2</v>
          </cell>
          <cell r="I469">
            <v>2.4823269192535566E-2</v>
          </cell>
        </row>
        <row r="470">
          <cell r="A470" t="str">
            <v>D-IBIO</v>
          </cell>
          <cell r="B470" t="str">
            <v>VAR_fout</v>
          </cell>
          <cell r="C470" t="str">
            <v>IBIO</v>
          </cell>
          <cell r="D470">
            <v>0.43674914105609136</v>
          </cell>
          <cell r="E470">
            <v>0.55207105690642666</v>
          </cell>
          <cell r="F470">
            <v>4.2703934225300229</v>
          </cell>
          <cell r="G470">
            <v>8.372233475412644</v>
          </cell>
          <cell r="H470">
            <v>8.8293064427204691</v>
          </cell>
          <cell r="I470">
            <v>10.140440428440646</v>
          </cell>
        </row>
        <row r="471">
          <cell r="A471" t="str">
            <v>D-IBIO</v>
          </cell>
          <cell r="B471" t="str">
            <v>VAR_fin</v>
          </cell>
          <cell r="C471" t="str">
            <v>BIO</v>
          </cell>
          <cell r="D471">
            <v>0.43674914105609136</v>
          </cell>
          <cell r="E471">
            <v>0.55207105690642666</v>
          </cell>
          <cell r="F471">
            <v>4.2703934225300229</v>
          </cell>
          <cell r="G471">
            <v>8.372233475412644</v>
          </cell>
          <cell r="H471">
            <v>8.8293064427204691</v>
          </cell>
          <cell r="I471">
            <v>10.140440428440646</v>
          </cell>
        </row>
        <row r="472">
          <cell r="A472" t="str">
            <v>D-RHES_KEV_WOD_ELC_CHP</v>
          </cell>
          <cell r="B472" t="str">
            <v>VAR_fout</v>
          </cell>
          <cell r="C472" t="str">
            <v>RHES_ELC</v>
          </cell>
          <cell r="G472">
            <v>9.0458028360322954E-5</v>
          </cell>
          <cell r="H472">
            <v>2.6941344654393381E-4</v>
          </cell>
          <cell r="I472">
            <v>1.1800002314799458E-4</v>
          </cell>
        </row>
        <row r="473">
          <cell r="A473" t="str">
            <v>D-RHES_KEV_WOD_ELC_CHP</v>
          </cell>
          <cell r="B473" t="str">
            <v>VAR_fout</v>
          </cell>
          <cell r="C473" t="str">
            <v>ELC5</v>
          </cell>
          <cell r="G473">
            <v>1.5130145933497959E-4</v>
          </cell>
          <cell r="H473">
            <v>2.6947966940370341E-4</v>
          </cell>
          <cell r="I473">
            <v>1.1802859085976136E-4</v>
          </cell>
        </row>
        <row r="474">
          <cell r="A474" t="str">
            <v>D-RHES_KEV_WOD_ELC_CHP</v>
          </cell>
          <cell r="B474" t="str">
            <v>VAR_fin</v>
          </cell>
          <cell r="C474" t="str">
            <v>RHES_KEV_WOD_ELC_CHP</v>
          </cell>
          <cell r="G474">
            <v>2.3520520588610246E-4</v>
          </cell>
          <cell r="H474">
            <v>5.2946056801109881E-4</v>
          </cell>
          <cell r="I474">
            <v>2.2778272679911936E-4</v>
          </cell>
        </row>
        <row r="475">
          <cell r="A475" t="str">
            <v>RHNS-SHLFOBR</v>
          </cell>
          <cell r="B475" t="str">
            <v>VAR_fout</v>
          </cell>
          <cell r="C475" t="str">
            <v>CO2_R</v>
          </cell>
          <cell r="E475">
            <v>2.4931549030516699E-3</v>
          </cell>
          <cell r="F475">
            <v>1.18792821730538</v>
          </cell>
          <cell r="G475">
            <v>1.7499278401734299</v>
          </cell>
          <cell r="H475">
            <v>1.4208093507142801</v>
          </cell>
        </row>
        <row r="476">
          <cell r="A476" t="str">
            <v>RHNS-SHLFOBR</v>
          </cell>
          <cell r="B476" t="str">
            <v>VAR_fout</v>
          </cell>
          <cell r="C476" t="str">
            <v>RHNS-SHLFO</v>
          </cell>
          <cell r="E476">
            <v>3.0304630492769616E-5</v>
          </cell>
          <cell r="F476">
            <v>1.5304649506330358E-2</v>
          </cell>
          <cell r="G476">
            <v>2.2546443935238681E-2</v>
          </cell>
          <cell r="H476">
            <v>1.8306011044071153E-2</v>
          </cell>
        </row>
        <row r="477">
          <cell r="A477" t="str">
            <v>RHNS-SHLFOBR</v>
          </cell>
          <cell r="B477" t="str">
            <v>VAR_fin</v>
          </cell>
          <cell r="C477" t="str">
            <v>RLFO</v>
          </cell>
          <cell r="E477">
            <v>3.3828424736114893E-5</v>
          </cell>
          <cell r="F477">
            <v>1.6118429000072928E-2</v>
          </cell>
          <cell r="G477">
            <v>2.3743932702488819E-2</v>
          </cell>
          <cell r="H477">
            <v>1.9278281556503098E-2</v>
          </cell>
        </row>
        <row r="478">
          <cell r="A478" t="str">
            <v>RHNS-SHLFOBR</v>
          </cell>
          <cell r="B478" t="str">
            <v>VAR_ncap</v>
          </cell>
          <cell r="C478" t="str">
            <v>-</v>
          </cell>
          <cell r="E478">
            <v>8.5500550048131105E-6</v>
          </cell>
          <cell r="F478">
            <v>7.5344149303564201E-3</v>
          </cell>
        </row>
        <row r="479">
          <cell r="A479" t="str">
            <v>RHNS-SHLFOBR</v>
          </cell>
          <cell r="B479" t="str">
            <v>VAR_cap</v>
          </cell>
          <cell r="C479" t="str">
            <v>-</v>
          </cell>
          <cell r="E479">
            <v>8.5500550048131105E-6</v>
          </cell>
          <cell r="F479">
            <v>7.5404715236809406E-3</v>
          </cell>
          <cell r="G479">
            <v>7.5383088445202711E-3</v>
          </cell>
          <cell r="H479">
            <v>1.3345024803772974E-3</v>
          </cell>
        </row>
        <row r="480">
          <cell r="A480" t="str">
            <v>D-SNGA</v>
          </cell>
          <cell r="B480" t="str">
            <v>VAR_fout</v>
          </cell>
          <cell r="C480" t="str">
            <v>CO2</v>
          </cell>
          <cell r="D480">
            <v>1522.0134858629399</v>
          </cell>
          <cell r="E480">
            <v>1518.9883110165599</v>
          </cell>
          <cell r="F480">
            <v>1356.07481444165</v>
          </cell>
          <cell r="G480">
            <v>960.52364632761601</v>
          </cell>
          <cell r="H480">
            <v>368.27300230639401</v>
          </cell>
          <cell r="I480">
            <v>189.519765461448</v>
          </cell>
        </row>
        <row r="481">
          <cell r="A481" t="str">
            <v>D-SNGA</v>
          </cell>
          <cell r="B481" t="str">
            <v>VAR_fout</v>
          </cell>
          <cell r="C481" t="str">
            <v>SNGA</v>
          </cell>
          <cell r="D481">
            <v>27.207339836414256</v>
          </cell>
          <cell r="E481">
            <v>28.488347279735041</v>
          </cell>
          <cell r="F481">
            <v>23.972051755387213</v>
          </cell>
          <cell r="G481">
            <v>16.976388252757616</v>
          </cell>
          <cell r="H481">
            <v>6.509048285118241</v>
          </cell>
          <cell r="I481">
            <v>3.3494954051327217</v>
          </cell>
        </row>
        <row r="482">
          <cell r="A482" t="str">
            <v>D-SNGA</v>
          </cell>
          <cell r="B482" t="str">
            <v>VAR_fout</v>
          </cell>
          <cell r="C482" t="str">
            <v>RSH2</v>
          </cell>
          <cell r="G482">
            <v>4.047214161521926E-4</v>
          </cell>
          <cell r="H482">
            <v>1.3283401258805425E-2</v>
          </cell>
          <cell r="I482">
            <v>8.1901745349234386E-3</v>
          </cell>
        </row>
        <row r="483">
          <cell r="A483" t="str">
            <v>D-SNGA</v>
          </cell>
          <cell r="B483" t="str">
            <v>VAR_fin</v>
          </cell>
          <cell r="C483" t="str">
            <v>NGA</v>
          </cell>
          <cell r="D483">
            <v>26.986054713881927</v>
          </cell>
          <cell r="E483">
            <v>26.932416861995737</v>
          </cell>
          <cell r="F483">
            <v>24.043879688681784</v>
          </cell>
          <cell r="G483">
            <v>17.030561105099576</v>
          </cell>
          <cell r="H483">
            <v>6.5296631614608875</v>
          </cell>
          <cell r="I483">
            <v>3.3602795294582912</v>
          </cell>
        </row>
        <row r="484">
          <cell r="A484" t="str">
            <v>D-SNGA</v>
          </cell>
          <cell r="B484" t="str">
            <v>VAR_fin</v>
          </cell>
          <cell r="C484" t="str">
            <v>BNGA</v>
          </cell>
          <cell r="D484">
            <v>0.30820222331281855</v>
          </cell>
          <cell r="E484">
            <v>1.6469398499906771</v>
          </cell>
          <cell r="F484">
            <v>4.7536528092367841E-3</v>
          </cell>
          <cell r="G484">
            <v>1.0100986919668831E-4</v>
          </cell>
          <cell r="H484">
            <v>3.3316993598574368E-4</v>
          </cell>
          <cell r="I484">
            <v>1.6107741029973107E-4</v>
          </cell>
        </row>
        <row r="485">
          <cell r="A485" t="str">
            <v>D-SNGA</v>
          </cell>
          <cell r="B485" t="str">
            <v>VAR_fin</v>
          </cell>
          <cell r="C485" t="str">
            <v>H2</v>
          </cell>
          <cell r="G485">
            <v>4.0483946409262234E-4</v>
          </cell>
          <cell r="H485">
            <v>1.328063140234864E-2</v>
          </cell>
          <cell r="I485">
            <v>8.1846764548339172E-3</v>
          </cell>
        </row>
        <row r="486">
          <cell r="A486" t="str">
            <v>D-SNGA</v>
          </cell>
          <cell r="B486" t="str">
            <v>VAR_ncap</v>
          </cell>
          <cell r="C486" t="str">
            <v>-</v>
          </cell>
          <cell r="D486">
            <v>3.2550052711988899E-7</v>
          </cell>
          <cell r="E486">
            <v>7.2351146476845295E-8</v>
          </cell>
          <cell r="F486">
            <v>1.08972348929727E-7</v>
          </cell>
          <cell r="G486">
            <v>1.28495166925655E-7</v>
          </cell>
          <cell r="H486">
            <v>2.5955475380499402E-7</v>
          </cell>
          <cell r="I486">
            <v>4.3804144002248698E-7</v>
          </cell>
        </row>
        <row r="487">
          <cell r="A487" t="str">
            <v>D-SNGA</v>
          </cell>
          <cell r="B487" t="str">
            <v>VAR_cap</v>
          </cell>
          <cell r="C487" t="str">
            <v>-</v>
          </cell>
          <cell r="D487">
            <v>2.2350525271256672</v>
          </cell>
          <cell r="E487">
            <v>2.2350525994768136</v>
          </cell>
          <cell r="F487">
            <v>2.2350527084491625</v>
          </cell>
          <cell r="G487">
            <v>2.2350528369443294</v>
          </cell>
          <cell r="H487">
            <v>2.2350532940141385</v>
          </cell>
          <cell r="I487">
            <v>1.1208920329192984</v>
          </cell>
        </row>
        <row r="488">
          <cell r="A488" t="str">
            <v>D-IPLT</v>
          </cell>
          <cell r="B488" t="str">
            <v>VAR_fout</v>
          </cell>
          <cell r="C488" t="str">
            <v>IPLT</v>
          </cell>
          <cell r="D488">
            <v>0.62579905191362417</v>
          </cell>
          <cell r="E488">
            <v>0.73757781964595781</v>
          </cell>
          <cell r="F488">
            <v>3.9359396236044453</v>
          </cell>
          <cell r="G488">
            <v>4.0963459228316097</v>
          </cell>
          <cell r="H488">
            <v>4.0734643218167044</v>
          </cell>
          <cell r="I488">
            <v>4.0508336940947158</v>
          </cell>
        </row>
        <row r="489">
          <cell r="A489" t="str">
            <v>D-IPLT</v>
          </cell>
          <cell r="B489" t="str">
            <v>VAR_fin</v>
          </cell>
          <cell r="C489" t="str">
            <v>PLT</v>
          </cell>
          <cell r="D489">
            <v>0.62579905191362417</v>
          </cell>
          <cell r="E489">
            <v>0.73757781964595781</v>
          </cell>
          <cell r="F489">
            <v>3.9359396236044453</v>
          </cell>
          <cell r="G489">
            <v>4.0963459228316097</v>
          </cell>
          <cell r="H489">
            <v>4.0734643218167044</v>
          </cell>
          <cell r="I489">
            <v>4.0508336940947158</v>
          </cell>
        </row>
        <row r="490">
          <cell r="A490" t="str">
            <v>ITOT-SWHWODBR</v>
          </cell>
          <cell r="B490" t="str">
            <v>VAR_fout</v>
          </cell>
          <cell r="C490" t="str">
            <v>ITOT-SWH</v>
          </cell>
          <cell r="D490">
            <v>5.3111380615497286</v>
          </cell>
          <cell r="E490">
            <v>6.2669483662370835</v>
          </cell>
          <cell r="F490">
            <v>3.4606840402711034</v>
          </cell>
          <cell r="G490">
            <v>3.2421342783908758</v>
          </cell>
          <cell r="H490">
            <v>4.1625572587247088</v>
          </cell>
          <cell r="I490">
            <v>2.7109016782123905</v>
          </cell>
        </row>
        <row r="491">
          <cell r="A491" t="str">
            <v>ITOT-SWHWODBR</v>
          </cell>
          <cell r="B491" t="str">
            <v>VAR_fin</v>
          </cell>
          <cell r="C491" t="str">
            <v>IWOD</v>
          </cell>
          <cell r="D491">
            <v>9.0019289178809085</v>
          </cell>
          <cell r="E491">
            <v>10.609957730649688</v>
          </cell>
          <cell r="F491">
            <v>5.8490434483455278</v>
          </cell>
          <cell r="G491">
            <v>5.4642712557149631</v>
          </cell>
          <cell r="H491">
            <v>6.976352947583301</v>
          </cell>
          <cell r="I491">
            <v>4.5181694636873146</v>
          </cell>
        </row>
        <row r="492">
          <cell r="A492" t="str">
            <v>ITOT-SWHWODBR</v>
          </cell>
          <cell r="B492" t="str">
            <v>VAR_fin</v>
          </cell>
          <cell r="C492" t="str">
            <v>ITOTWODBRC</v>
          </cell>
          <cell r="D492">
            <v>5.3111380615497286</v>
          </cell>
          <cell r="E492">
            <v>6.2669483662370835</v>
          </cell>
          <cell r="F492">
            <v>3.4606840402711034</v>
          </cell>
          <cell r="G492">
            <v>3.2421342783908758</v>
          </cell>
          <cell r="H492">
            <v>4.1625572587247088</v>
          </cell>
          <cell r="I492">
            <v>2.7109016782123905</v>
          </cell>
        </row>
        <row r="493">
          <cell r="A493" t="str">
            <v>ITOT-SWHWODBR</v>
          </cell>
          <cell r="B493" t="str">
            <v>VAR_ncap</v>
          </cell>
          <cell r="C493" t="str">
            <v>-</v>
          </cell>
          <cell r="E493">
            <v>5.21273777879609E-2</v>
          </cell>
          <cell r="F493">
            <v>1.05237645656982E-6</v>
          </cell>
          <cell r="G493">
            <v>2.44903951987042E-6</v>
          </cell>
          <cell r="H493">
            <v>0.137421803593545</v>
          </cell>
          <cell r="I493">
            <v>1.43510494697335E-2</v>
          </cell>
        </row>
        <row r="494">
          <cell r="A494" t="str">
            <v>ITOT-SWHWODBR</v>
          </cell>
          <cell r="B494" t="str">
            <v>VAR_cap</v>
          </cell>
          <cell r="C494" t="str">
            <v>-</v>
          </cell>
          <cell r="D494">
            <v>0.28883369534761499</v>
          </cell>
          <cell r="E494">
            <v>0.34096044050786467</v>
          </cell>
          <cell r="F494">
            <v>0.33912978749307759</v>
          </cell>
          <cell r="G494">
            <v>0.33908199962218599</v>
          </cell>
          <cell r="H494">
            <v>0.25798149892107591</v>
          </cell>
          <cell r="I494">
            <v>0.16507507567171065</v>
          </cell>
        </row>
        <row r="495">
          <cell r="A495" t="str">
            <v>D-ITOT_KEV_WOD_ELC_CHP</v>
          </cell>
          <cell r="B495" t="str">
            <v>VAR_fout</v>
          </cell>
          <cell r="C495" t="str">
            <v>ITOT_ELC</v>
          </cell>
          <cell r="D495">
            <v>2.2780897150098719E-4</v>
          </cell>
          <cell r="E495">
            <v>8.8059348671904125E-5</v>
          </cell>
          <cell r="F495">
            <v>1.5416792671357321E-4</v>
          </cell>
          <cell r="G495">
            <v>8.6679101307229477E-4</v>
          </cell>
          <cell r="H495">
            <v>2.486376118225039</v>
          </cell>
          <cell r="I495">
            <v>3.5831937745905287</v>
          </cell>
        </row>
        <row r="496">
          <cell r="A496" t="str">
            <v>D-ITOT_KEV_WOD_ELC_CHP</v>
          </cell>
          <cell r="B496" t="str">
            <v>VAR_fout</v>
          </cell>
          <cell r="C496" t="str">
            <v>ELC5</v>
          </cell>
          <cell r="D496">
            <v>0.17224885696029107</v>
          </cell>
          <cell r="E496">
            <v>0.52156515889186739</v>
          </cell>
          <cell r="F496">
            <v>1.1231413322318657</v>
          </cell>
          <cell r="G496">
            <v>1.8541588581271791</v>
          </cell>
          <cell r="H496">
            <v>0.35522662999657373</v>
          </cell>
          <cell r="I496">
            <v>0.59948272277383718</v>
          </cell>
        </row>
        <row r="497">
          <cell r="A497" t="str">
            <v>D-ITOT_KEV_WOD_ELC_CHP</v>
          </cell>
          <cell r="B497" t="str">
            <v>VAR_fin</v>
          </cell>
          <cell r="C497" t="str">
            <v>ITOT_KEV_WOD_ELC_CHP</v>
          </cell>
          <cell r="D497">
            <v>0.17247666593179214</v>
          </cell>
          <cell r="E497">
            <v>0.52165321824053901</v>
          </cell>
          <cell r="F497">
            <v>1.1232877017347516</v>
          </cell>
          <cell r="G497">
            <v>1.8550125645457916</v>
          </cell>
          <cell r="H497">
            <v>2.8416027482216117</v>
          </cell>
          <cell r="I497">
            <v>4.1826764973643691</v>
          </cell>
        </row>
        <row r="498">
          <cell r="A498" t="str">
            <v>RHEM-SHSTG-SOL</v>
          </cell>
          <cell r="B498" t="str">
            <v>VAR_fout</v>
          </cell>
          <cell r="C498" t="str">
            <v>RHEM-SHASOL</v>
          </cell>
          <cell r="D498">
            <v>5.5449981676361345E-6</v>
          </cell>
          <cell r="E498">
            <v>5.8849640634609707E-6</v>
          </cell>
          <cell r="F498">
            <v>2.0711659340580759E-3</v>
          </cell>
          <cell r="G498">
            <v>1.5707123979646477E-3</v>
          </cell>
          <cell r="H498">
            <v>1.7550410262628039E-3</v>
          </cell>
          <cell r="I498">
            <v>2.6516076174715611E-3</v>
          </cell>
        </row>
        <row r="499">
          <cell r="A499" t="str">
            <v>RHEM-SHSTG-SOL</v>
          </cell>
          <cell r="B499" t="str">
            <v>VAR_fin</v>
          </cell>
          <cell r="C499" t="str">
            <v>RHEM-SHASOL</v>
          </cell>
          <cell r="D499">
            <v>5.0394730359792797E-6</v>
          </cell>
          <cell r="E499">
            <v>1.3861128177908171E-5</v>
          </cell>
          <cell r="F499">
            <v>2.0795025949074748E-3</v>
          </cell>
          <cell r="G499">
            <v>1.5781782599856356E-3</v>
          </cell>
          <cell r="H499">
            <v>1.7591681150277406E-3</v>
          </cell>
          <cell r="I499">
            <v>2.6568741058218474E-3</v>
          </cell>
        </row>
        <row r="500">
          <cell r="A500" t="str">
            <v>RHEM-SHSTG-SOL</v>
          </cell>
          <cell r="B500" t="str">
            <v>VAR_ncap</v>
          </cell>
          <cell r="C500" t="str">
            <v>-</v>
          </cell>
          <cell r="D500">
            <v>1.41729948577914E-2</v>
          </cell>
          <cell r="E500">
            <v>1.9190522415564099E-3</v>
          </cell>
          <cell r="F500">
            <v>1.7755236101674501E-7</v>
          </cell>
          <cell r="G500">
            <v>2.8554396801748403E-7</v>
          </cell>
          <cell r="H500">
            <v>4.7291807944199802E-4</v>
          </cell>
          <cell r="I500">
            <v>1.4581759141576599E-4</v>
          </cell>
        </row>
        <row r="501">
          <cell r="A501" t="str">
            <v>RHEM-SHSTG-SOL</v>
          </cell>
          <cell r="B501" t="str">
            <v>VAR_cap</v>
          </cell>
          <cell r="C501" t="str">
            <v>-</v>
          </cell>
          <cell r="D501">
            <v>1.41729948577914E-2</v>
          </cell>
          <cell r="E501">
            <v>1.6092047099347799E-2</v>
          </cell>
          <cell r="F501">
            <v>1.60922246517088E-2</v>
          </cell>
          <cell r="G501">
            <v>1.6092510195676799E-2</v>
          </cell>
          <cell r="H501">
            <v>5.0113784818583398E-4</v>
          </cell>
          <cell r="I501">
            <v>5.0087111091736498E-4</v>
          </cell>
        </row>
        <row r="502">
          <cell r="A502" t="str">
            <v>ITOT-SWHCONBR10</v>
          </cell>
          <cell r="B502" t="str">
            <v>VAR_fout</v>
          </cell>
          <cell r="C502" t="str">
            <v>ITOT-ELS</v>
          </cell>
          <cell r="I502">
            <v>6.5813003821008671E-6</v>
          </cell>
        </row>
        <row r="503">
          <cell r="A503" t="str">
            <v>ITOT-SWHCONBR10</v>
          </cell>
          <cell r="B503" t="str">
            <v>VAR_fout</v>
          </cell>
          <cell r="C503" t="str">
            <v>ITOT-SWHC</v>
          </cell>
          <cell r="I503">
            <v>4.0686993264548419E-5</v>
          </cell>
        </row>
        <row r="504">
          <cell r="A504" t="str">
            <v>ITOT-SWHCONBR10</v>
          </cell>
          <cell r="B504" t="str">
            <v>VAR_fin</v>
          </cell>
          <cell r="C504" t="str">
            <v>CON</v>
          </cell>
          <cell r="I504">
            <v>4.729405803873316E-5</v>
          </cell>
        </row>
        <row r="505">
          <cell r="A505" t="str">
            <v>ITOT-SWHCONBR10</v>
          </cell>
          <cell r="B505" t="str">
            <v>VAR_ncap</v>
          </cell>
          <cell r="C505" t="str">
            <v>-</v>
          </cell>
          <cell r="I505">
            <v>1.09854848063779E-6</v>
          </cell>
        </row>
        <row r="506">
          <cell r="A506" t="str">
            <v>ITOT-SWHCONBR10</v>
          </cell>
          <cell r="B506" t="str">
            <v>VAR_cap</v>
          </cell>
          <cell r="C506" t="str">
            <v>-</v>
          </cell>
          <cell r="I506">
            <v>1.09854848063779E-6</v>
          </cell>
        </row>
        <row r="507">
          <cell r="A507" t="str">
            <v>SCOM-SHSTG</v>
          </cell>
          <cell r="B507" t="str">
            <v>VAR_fout</v>
          </cell>
          <cell r="C507" t="str">
            <v>AUX_SCOM-SHSTG_OUT</v>
          </cell>
          <cell r="D507">
            <v>1.842256909912027E-5</v>
          </cell>
          <cell r="E507">
            <v>1.1121854367776828E-4</v>
          </cell>
          <cell r="F507">
            <v>5.0142200374924934E-5</v>
          </cell>
          <cell r="G507">
            <v>4.617862026113378E-5</v>
          </cell>
          <cell r="H507">
            <v>1.6860447042769104E-4</v>
          </cell>
          <cell r="I507">
            <v>2.1498508728250024E-3</v>
          </cell>
        </row>
        <row r="508">
          <cell r="A508" t="str">
            <v>SCOM-SHSTG</v>
          </cell>
          <cell r="B508" t="str">
            <v>VAR_fout</v>
          </cell>
          <cell r="C508" t="str">
            <v>SCOM-SHD</v>
          </cell>
          <cell r="D508">
            <v>1.8422569099120315E-5</v>
          </cell>
          <cell r="E508">
            <v>1.1130945027796476E-4</v>
          </cell>
          <cell r="F508">
            <v>5.0206238945007891E-5</v>
          </cell>
          <cell r="G508">
            <v>4.6178620261133691E-5</v>
          </cell>
          <cell r="H508">
            <v>1.6860447042769093E-4</v>
          </cell>
          <cell r="I508">
            <v>2.1498508728250011E-3</v>
          </cell>
        </row>
        <row r="509">
          <cell r="A509" t="str">
            <v>SCOM-SHSTG</v>
          </cell>
          <cell r="B509" t="str">
            <v>VAR_fin</v>
          </cell>
          <cell r="C509" t="str">
            <v>AUX_SCOM-SHSTG_IN</v>
          </cell>
          <cell r="D509">
            <v>2.3019801556341068E-5</v>
          </cell>
          <cell r="E509">
            <v>1.3587855282904394E-4</v>
          </cell>
          <cell r="F509">
            <v>6.0220439175743511E-5</v>
          </cell>
          <cell r="G509">
            <v>5.3513110864619393E-5</v>
          </cell>
          <cell r="H509">
            <v>1.8173370329596487E-4</v>
          </cell>
          <cell r="I509">
            <v>2.1724288141475819E-3</v>
          </cell>
        </row>
        <row r="510">
          <cell r="A510" t="str">
            <v>SCOM-SHSTG</v>
          </cell>
          <cell r="B510" t="str">
            <v>VAR_fin</v>
          </cell>
          <cell r="C510" t="str">
            <v>SCOM-SHD</v>
          </cell>
          <cell r="D510">
            <v>2.3019801556341068E-5</v>
          </cell>
          <cell r="E510">
            <v>1.3587855282904394E-4</v>
          </cell>
          <cell r="F510">
            <v>6.0220439175743511E-5</v>
          </cell>
          <cell r="G510">
            <v>5.3513110864619393E-5</v>
          </cell>
          <cell r="H510">
            <v>1.8173370329596487E-4</v>
          </cell>
          <cell r="I510">
            <v>2.1724288141475819E-3</v>
          </cell>
        </row>
        <row r="511">
          <cell r="A511" t="str">
            <v>SCOM-SHSTG</v>
          </cell>
          <cell r="B511" t="str">
            <v>VAR_ncap</v>
          </cell>
          <cell r="C511" t="str">
            <v>-</v>
          </cell>
          <cell r="D511">
            <v>3.68439726319315E-4</v>
          </cell>
          <cell r="E511">
            <v>2.2591579620134099E-6</v>
          </cell>
          <cell r="F511">
            <v>2.2394489149948202E-6</v>
          </cell>
          <cell r="G511">
            <v>1.48587630058968E-6</v>
          </cell>
          <cell r="H511">
            <v>1.7681100950912599E-4</v>
          </cell>
          <cell r="I511">
            <v>4.1712933606083701E-4</v>
          </cell>
        </row>
        <row r="512">
          <cell r="A512" t="str">
            <v>SCOM-SHSTG</v>
          </cell>
          <cell r="B512" t="str">
            <v>VAR_cap</v>
          </cell>
          <cell r="C512" t="str">
            <v>-</v>
          </cell>
          <cell r="D512">
            <v>3.68439726319315E-4</v>
          </cell>
          <cell r="E512">
            <v>3.6988678826193846E-4</v>
          </cell>
          <cell r="F512">
            <v>3.7110770208920478E-4</v>
          </cell>
          <cell r="G512">
            <v>3.71417896794487E-4</v>
          </cell>
          <cell r="H512">
            <v>4.0167682006917295E-4</v>
          </cell>
          <cell r="I512">
            <v>6.6860156898290691E-4</v>
          </cell>
        </row>
        <row r="513">
          <cell r="A513" t="str">
            <v>D-ITOT_KEV_HFC_ELC_CHP</v>
          </cell>
          <cell r="B513" t="str">
            <v>VAR_fout</v>
          </cell>
          <cell r="C513" t="str">
            <v>ITOT_ELC</v>
          </cell>
          <cell r="G513">
            <v>2.5167176503444592E-3</v>
          </cell>
          <cell r="H513">
            <v>0.33536497055690234</v>
          </cell>
          <cell r="I513">
            <v>0.2976947856875008</v>
          </cell>
        </row>
        <row r="514">
          <cell r="A514" t="str">
            <v>D-ITOT_KEV_HFC_ELC_CHP</v>
          </cell>
          <cell r="B514" t="str">
            <v>VAR_fout</v>
          </cell>
          <cell r="C514" t="str">
            <v>ELC5</v>
          </cell>
          <cell r="G514">
            <v>4.701152705548885E-4</v>
          </cell>
          <cell r="H514">
            <v>7.8396915579790616E-2</v>
          </cell>
          <cell r="I514">
            <v>9.3449260292938027E-2</v>
          </cell>
        </row>
        <row r="515">
          <cell r="A515" t="str">
            <v>D-ITOT_KEV_HFC_ELC_CHP</v>
          </cell>
          <cell r="B515" t="str">
            <v>VAR_fin</v>
          </cell>
          <cell r="C515" t="str">
            <v>ITOT_KEV_HFC_ELC_CHP</v>
          </cell>
          <cell r="G515">
            <v>2.9755746356543902E-3</v>
          </cell>
          <cell r="H515">
            <v>0.4137484541940003</v>
          </cell>
          <cell r="I515">
            <v>0.39113432103859846</v>
          </cell>
        </row>
        <row r="516">
          <cell r="A516" t="str">
            <v>D-RNGA</v>
          </cell>
          <cell r="B516" t="str">
            <v>VAR_fout</v>
          </cell>
          <cell r="C516" t="str">
            <v>CO2</v>
          </cell>
          <cell r="D516">
            <v>2650.9144664662499</v>
          </cell>
          <cell r="E516">
            <v>2620.17456427978</v>
          </cell>
          <cell r="F516">
            <v>2645.4847315923598</v>
          </cell>
          <cell r="G516">
            <v>1945.5026783291901</v>
          </cell>
          <cell r="H516">
            <v>787.99989838033503</v>
          </cell>
          <cell r="I516">
            <v>450.76284176935701</v>
          </cell>
        </row>
        <row r="517">
          <cell r="A517" t="str">
            <v>D-RNGA</v>
          </cell>
          <cell r="B517" t="str">
            <v>VAR_fout</v>
          </cell>
          <cell r="C517" t="str">
            <v>RNGA</v>
          </cell>
          <cell r="D517">
            <v>47.164311800487766</v>
          </cell>
          <cell r="E517">
            <v>48.283023494768528</v>
          </cell>
          <cell r="F517">
            <v>46.76123005487117</v>
          </cell>
          <cell r="G517">
            <v>34.384933056886787</v>
          </cell>
          <cell r="H517">
            <v>13.92724384130034</v>
          </cell>
          <cell r="I517">
            <v>7.9666673042837592</v>
          </cell>
        </row>
        <row r="518">
          <cell r="A518" t="str">
            <v>D-RNGA</v>
          </cell>
          <cell r="B518" t="str">
            <v>VAR_fout</v>
          </cell>
          <cell r="C518" t="str">
            <v>RSH2</v>
          </cell>
          <cell r="G518">
            <v>4.2648510760111535E-4</v>
          </cell>
          <cell r="H518">
            <v>3.5813788559750273E-2</v>
          </cell>
          <cell r="I518">
            <v>2.1918715131223961E-2</v>
          </cell>
        </row>
        <row r="519">
          <cell r="A519" t="str">
            <v>D-RNGA</v>
          </cell>
          <cell r="B519" t="str">
            <v>VAR_fin</v>
          </cell>
          <cell r="C519" t="str">
            <v>NGA</v>
          </cell>
          <cell r="D519">
            <v>47.002029547273821</v>
          </cell>
          <cell r="E519">
            <v>46.456995820563542</v>
          </cell>
          <cell r="F519">
            <v>46.905757652346885</v>
          </cell>
          <cell r="G519">
            <v>34.494728339170095</v>
          </cell>
          <cell r="H519">
            <v>13.971629403906633</v>
          </cell>
          <cell r="I519">
            <v>7.9922489675417943</v>
          </cell>
        </row>
        <row r="520">
          <cell r="A520" t="str">
            <v>D-RNGA</v>
          </cell>
          <cell r="B520" t="str">
            <v>VAR_fin</v>
          </cell>
          <cell r="C520" t="str">
            <v>BNGA</v>
          </cell>
          <cell r="D520">
            <v>0.31295428754925114</v>
          </cell>
          <cell r="E520">
            <v>1.9802735668322482</v>
          </cell>
          <cell r="F520">
            <v>4.8567440194183104E-3</v>
          </cell>
          <cell r="G520">
            <v>1.0164299843378461E-4</v>
          </cell>
          <cell r="H520">
            <v>3.3642983216399669E-4</v>
          </cell>
          <cell r="I520">
            <v>1.6384949600686198E-4</v>
          </cell>
        </row>
        <row r="521">
          <cell r="A521" t="str">
            <v>D-RNGA</v>
          </cell>
          <cell r="B521" t="str">
            <v>VAR_fin</v>
          </cell>
          <cell r="C521" t="str">
            <v>H2</v>
          </cell>
          <cell r="G521">
            <v>4.2650237763397465E-4</v>
          </cell>
          <cell r="H521">
            <v>3.5810339772159583E-2</v>
          </cell>
          <cell r="I521">
            <v>2.1916027340787712E-2</v>
          </cell>
        </row>
        <row r="522">
          <cell r="A522" t="str">
            <v>D-RNGA</v>
          </cell>
          <cell r="B522" t="str">
            <v>VAR_ncap</v>
          </cell>
          <cell r="C522" t="str">
            <v>-</v>
          </cell>
          <cell r="D522">
            <v>1.19330327068622E-7</v>
          </cell>
          <cell r="E522">
            <v>4.0079948598179699E-8</v>
          </cell>
          <cell r="F522">
            <v>5.7123100386542903E-8</v>
          </cell>
          <cell r="G522">
            <v>4.5626971232421099E-8</v>
          </cell>
          <cell r="H522">
            <v>9.1704624211913494E-8</v>
          </cell>
          <cell r="I522">
            <v>1.5268785914472999E-7</v>
          </cell>
        </row>
        <row r="523">
          <cell r="A523" t="str">
            <v>D-RNGA</v>
          </cell>
          <cell r="B523" t="str">
            <v>VAR_cap</v>
          </cell>
          <cell r="C523" t="str">
            <v>-</v>
          </cell>
          <cell r="D523">
            <v>3.097240126726247</v>
          </cell>
          <cell r="E523">
            <v>3.0972401668061957</v>
          </cell>
          <cell r="F523">
            <v>3.0972402239292962</v>
          </cell>
          <cell r="G523">
            <v>3.0972402695562673</v>
          </cell>
          <cell r="H523">
            <v>3.0972404289666686</v>
          </cell>
          <cell r="I523">
            <v>1.5532828222948276</v>
          </cell>
        </row>
        <row r="524">
          <cell r="A524" t="str">
            <v>RHNS-SHLTHCHPNGA</v>
          </cell>
          <cell r="B524" t="str">
            <v>VAR_fout</v>
          </cell>
          <cell r="C524" t="str">
            <v>RHNS-SHLTHC-NGA</v>
          </cell>
          <cell r="E524">
            <v>8.6646988465555836E-4</v>
          </cell>
        </row>
        <row r="525">
          <cell r="A525" t="str">
            <v>RHNS-SHLTHCHPNGA</v>
          </cell>
          <cell r="B525" t="str">
            <v>VAR_fin</v>
          </cell>
          <cell r="C525" t="str">
            <v>RHNSLTHCHPC</v>
          </cell>
          <cell r="E525">
            <v>8.6646988465555836E-4</v>
          </cell>
        </row>
        <row r="526">
          <cell r="A526" t="str">
            <v>RHNS-SHLTHCHPNGA</v>
          </cell>
          <cell r="B526" t="str">
            <v>VAR_fin</v>
          </cell>
          <cell r="C526" t="str">
            <v>RHNS_LTH_CHPNGA_ON</v>
          </cell>
          <cell r="E526">
            <v>8.7522210571268518E-4</v>
          </cell>
        </row>
        <row r="527">
          <cell r="A527" t="str">
            <v>RHNS-SHLTHCHPNGA</v>
          </cell>
          <cell r="B527" t="str">
            <v>VAR_ncap</v>
          </cell>
          <cell r="C527" t="str">
            <v>-</v>
          </cell>
          <cell r="E527">
            <v>2.9770807717132401E-4</v>
          </cell>
          <cell r="F527">
            <v>1.58955587641618E-4</v>
          </cell>
          <cell r="G527">
            <v>1.3194677387172099E-4</v>
          </cell>
          <cell r="H527">
            <v>5.4624121976078703E-5</v>
          </cell>
          <cell r="I527">
            <v>2.7276428449667199E-8</v>
          </cell>
        </row>
        <row r="528">
          <cell r="A528" t="str">
            <v>RHNS-SHLTHCHPNGA</v>
          </cell>
          <cell r="B528" t="str">
            <v>VAR_cap</v>
          </cell>
          <cell r="C528" t="str">
            <v>-</v>
          </cell>
          <cell r="E528">
            <v>2.9770807717132401E-4</v>
          </cell>
          <cell r="F528">
            <v>2.4664941917640999E-4</v>
          </cell>
          <cell r="G528">
            <v>2.4478942990957401E-4</v>
          </cell>
          <cell r="H528">
            <v>1.0904646480594697E-4</v>
          </cell>
        </row>
        <row r="529">
          <cell r="A529" t="str">
            <v>D-SCOM_KEV_BIO_ELC_CHP</v>
          </cell>
          <cell r="B529" t="str">
            <v>VAR_fout</v>
          </cell>
          <cell r="C529" t="str">
            <v>ELC5</v>
          </cell>
          <cell r="D529">
            <v>0.95925204935908936</v>
          </cell>
          <cell r="E529">
            <v>1.1058975197504075</v>
          </cell>
          <cell r="F529">
            <v>1.1058859940118246</v>
          </cell>
          <cell r="G529">
            <v>1.1058001185887201</v>
          </cell>
          <cell r="H529">
            <v>0.55552095145302394</v>
          </cell>
          <cell r="I529">
            <v>0.5549834756769878</v>
          </cell>
        </row>
        <row r="530">
          <cell r="A530" t="str">
            <v>D-SCOM_KEV_BIO_ELC_CHP</v>
          </cell>
          <cell r="B530" t="str">
            <v>VAR_fout</v>
          </cell>
          <cell r="C530" t="str">
            <v>SCOM_ELC</v>
          </cell>
          <cell r="D530">
            <v>1.2288067167857061E-4</v>
          </cell>
          <cell r="E530">
            <v>4.6699354862777185E-5</v>
          </cell>
          <cell r="F530">
            <v>5.7851189579580698E-5</v>
          </cell>
          <cell r="G530">
            <v>1.5249454168894853E-4</v>
          </cell>
          <cell r="H530">
            <v>0.55043872621133605</v>
          </cell>
          <cell r="I530">
            <v>0.55097188429534849</v>
          </cell>
        </row>
        <row r="531">
          <cell r="A531" t="str">
            <v>D-SCOM_KEV_BIO_ELC_CHP</v>
          </cell>
          <cell r="B531" t="str">
            <v>VAR_fin</v>
          </cell>
          <cell r="C531" t="str">
            <v>SCOM_KEV_BIO_ELC_CHP</v>
          </cell>
          <cell r="D531">
            <v>0.95937493003076746</v>
          </cell>
          <cell r="E531">
            <v>1.1059442191052704</v>
          </cell>
          <cell r="F531">
            <v>1.10594113999872</v>
          </cell>
          <cell r="G531">
            <v>1.1059413230136084</v>
          </cell>
          <cell r="H531">
            <v>1.1059442707808418</v>
          </cell>
          <cell r="I531">
            <v>1.1059415423416161</v>
          </cell>
        </row>
        <row r="532">
          <cell r="A532" t="str">
            <v>RHES-SHLTHCHPWOD</v>
          </cell>
          <cell r="B532" t="str">
            <v>VAR_ncap</v>
          </cell>
          <cell r="C532" t="str">
            <v>-</v>
          </cell>
          <cell r="G532">
            <v>4.1655185173700097E-5</v>
          </cell>
          <cell r="H532">
            <v>5.7904721756715402E-5</v>
          </cell>
          <cell r="I532">
            <v>2.01390310529891E-5</v>
          </cell>
        </row>
        <row r="533">
          <cell r="A533" t="str">
            <v>RHES-SHLTHCHPWOD</v>
          </cell>
          <cell r="B533" t="str">
            <v>VAR_cap</v>
          </cell>
          <cell r="C533" t="str">
            <v>-</v>
          </cell>
          <cell r="G533">
            <v>4.1655185173700097E-5</v>
          </cell>
          <cell r="H533">
            <v>9.293710494500941E-5</v>
          </cell>
          <cell r="I533">
            <v>3.72158786110641E-5</v>
          </cell>
        </row>
        <row r="534">
          <cell r="A534" t="str">
            <v>RHES-SHSTG-NGAHP</v>
          </cell>
          <cell r="B534" t="str">
            <v>VAR_fout</v>
          </cell>
          <cell r="C534" t="str">
            <v>RHES-SHANGAH</v>
          </cell>
          <cell r="F534">
            <v>6.569653306427615E-3</v>
          </cell>
          <cell r="G534">
            <v>3.2292137707098179E-3</v>
          </cell>
          <cell r="H534">
            <v>5.4241442061268592E-3</v>
          </cell>
          <cell r="I534">
            <v>8.8589876972106612E-3</v>
          </cell>
        </row>
        <row r="535">
          <cell r="A535" t="str">
            <v>RHES-SHSTG-NGAHP</v>
          </cell>
          <cell r="B535" t="str">
            <v>VAR_fin</v>
          </cell>
          <cell r="C535" t="str">
            <v>RHES-SHANGAH</v>
          </cell>
          <cell r="F535">
            <v>6.5986384214892155E-3</v>
          </cell>
          <cell r="G535">
            <v>3.2558199700097831E-3</v>
          </cell>
          <cell r="H535">
            <v>5.4384352859653826E-3</v>
          </cell>
          <cell r="I535">
            <v>8.8775355626470789E-3</v>
          </cell>
        </row>
        <row r="536">
          <cell r="A536" t="str">
            <v>RHES-SHSTG-NGAHP</v>
          </cell>
          <cell r="B536" t="str">
            <v>VAR_ncap</v>
          </cell>
          <cell r="C536" t="str">
            <v>-</v>
          </cell>
          <cell r="D536">
            <v>3.9457138513898399E-6</v>
          </cell>
          <cell r="E536">
            <v>5.3227744845296398E-6</v>
          </cell>
          <cell r="F536">
            <v>2.2333656284803199E-2</v>
          </cell>
          <cell r="G536">
            <v>1.0501922741805801E-5</v>
          </cell>
          <cell r="H536">
            <v>1.49303991760851E-2</v>
          </cell>
          <cell r="I536">
            <v>4.7921678574626104E-3</v>
          </cell>
        </row>
        <row r="537">
          <cell r="A537" t="str">
            <v>RHES-SHSTG-NGAHP</v>
          </cell>
          <cell r="B537" t="str">
            <v>VAR_cap</v>
          </cell>
          <cell r="C537" t="str">
            <v>-</v>
          </cell>
          <cell r="D537">
            <v>3.9457138513898399E-6</v>
          </cell>
          <cell r="E537">
            <v>5.3704838868385955E-7</v>
          </cell>
          <cell r="F537">
            <v>2.2334002409308891E-2</v>
          </cell>
          <cell r="G537">
            <v>2.2333338472131266E-2</v>
          </cell>
          <cell r="H537">
            <v>1.8897051122411235E-2</v>
          </cell>
          <cell r="I537">
            <v>1.5625312158499577E-2</v>
          </cell>
        </row>
        <row r="538">
          <cell r="A538" t="str">
            <v>D-RHNS_SOLELC</v>
          </cell>
          <cell r="B538" t="str">
            <v>VAR_fout</v>
          </cell>
          <cell r="C538" t="str">
            <v>RHNS_ELC</v>
          </cell>
          <cell r="E538">
            <v>1.9215775187602573E-6</v>
          </cell>
          <cell r="F538">
            <v>5.5033615890951913E-4</v>
          </cell>
          <cell r="G538">
            <v>7.6553429112844861E-4</v>
          </cell>
          <cell r="H538">
            <v>7.8643276075437865E-4</v>
          </cell>
          <cell r="I538">
            <v>8.733183323490414E-4</v>
          </cell>
        </row>
        <row r="539">
          <cell r="A539" t="str">
            <v>D-RHNS_SOLELC</v>
          </cell>
          <cell r="B539" t="str">
            <v>VAR_fout</v>
          </cell>
          <cell r="C539" t="str">
            <v>ELC5</v>
          </cell>
          <cell r="E539">
            <v>1.9187749022640184E-6</v>
          </cell>
          <cell r="F539">
            <v>5.5361038379549436E-4</v>
          </cell>
          <cell r="G539">
            <v>7.6857599187075347E-4</v>
          </cell>
          <cell r="H539">
            <v>7.8347755076617061E-4</v>
          </cell>
          <cell r="I539">
            <v>8.6669414685220855E-4</v>
          </cell>
        </row>
        <row r="540">
          <cell r="A540" t="str">
            <v>D-RHNS_SOLELC</v>
          </cell>
          <cell r="B540" t="str">
            <v>VAR_fin</v>
          </cell>
          <cell r="C540" t="str">
            <v>RHNS_SOL_ELC</v>
          </cell>
          <cell r="E540">
            <v>1.1931391100642856E-6</v>
          </cell>
          <cell r="F540">
            <v>1.103980767462909E-3</v>
          </cell>
          <cell r="G540">
            <v>1.534148196640304E-3</v>
          </cell>
          <cell r="H540">
            <v>1.5699103115205488E-3</v>
          </cell>
          <cell r="I540">
            <v>1.7400311279592653E-3</v>
          </cell>
        </row>
        <row r="541">
          <cell r="A541" t="str">
            <v>D-IHFO</v>
          </cell>
          <cell r="B541" t="str">
            <v>VAR_fout</v>
          </cell>
          <cell r="C541" t="str">
            <v>CO2</v>
          </cell>
          <cell r="D541">
            <v>213.78142314578301</v>
          </cell>
          <cell r="E541">
            <v>182.88656221462699</v>
          </cell>
          <cell r="F541">
            <v>0.141615471207337</v>
          </cell>
          <cell r="G541">
            <v>1.69317960382258E-2</v>
          </cell>
          <cell r="H541">
            <v>6.3027285407847994E-2</v>
          </cell>
        </row>
        <row r="542">
          <cell r="A542" t="str">
            <v>D-IHFO</v>
          </cell>
          <cell r="B542" t="str">
            <v>VAR_fout</v>
          </cell>
          <cell r="C542" t="str">
            <v>IHFO</v>
          </cell>
          <cell r="D542">
            <v>2.7300133018098549</v>
          </cell>
          <cell r="E542">
            <v>2.3354823829932756</v>
          </cell>
          <cell r="F542">
            <v>1.8084458155864125E-3</v>
          </cell>
          <cell r="G542">
            <v>2.1622097807986963E-4</v>
          </cell>
          <cell r="H542">
            <v>8.0486566610165798E-4</v>
          </cell>
        </row>
        <row r="543">
          <cell r="A543" t="str">
            <v>D-IHFO</v>
          </cell>
          <cell r="B543" t="str">
            <v>VAR_fin</v>
          </cell>
          <cell r="C543" t="str">
            <v>HFO</v>
          </cell>
          <cell r="D543">
            <v>2.7763821187764037</v>
          </cell>
          <cell r="E543">
            <v>2.3751501586315169</v>
          </cell>
          <cell r="F543">
            <v>1.8391619637316433E-3</v>
          </cell>
          <cell r="G543">
            <v>2.1989345504189284E-4</v>
          </cell>
          <cell r="H543">
            <v>8.1853617412789518E-4</v>
          </cell>
        </row>
        <row r="544">
          <cell r="A544" t="str">
            <v>RHEM-SHCONBR</v>
          </cell>
          <cell r="B544" t="str">
            <v>VAR_fout</v>
          </cell>
          <cell r="C544" t="str">
            <v>RHEM-SHCON</v>
          </cell>
          <cell r="F544">
            <v>6.8604137284873908E-5</v>
          </cell>
          <cell r="G544">
            <v>4.9787163789659024E-5</v>
          </cell>
          <cell r="H544">
            <v>1.2766207375731206E-4</v>
          </cell>
          <cell r="I544">
            <v>4.3678683443512439E-4</v>
          </cell>
        </row>
        <row r="545">
          <cell r="A545" t="str">
            <v>RHEM-SHCONBR</v>
          </cell>
          <cell r="B545" t="str">
            <v>VAR_fin</v>
          </cell>
          <cell r="C545" t="str">
            <v>CON</v>
          </cell>
          <cell r="F545">
            <v>6.8604137284873908E-5</v>
          </cell>
          <cell r="G545">
            <v>4.9787163789659024E-5</v>
          </cell>
          <cell r="H545">
            <v>1.2766207375731206E-4</v>
          </cell>
          <cell r="I545">
            <v>4.3678683443512439E-4</v>
          </cell>
        </row>
        <row r="546">
          <cell r="A546" t="str">
            <v>RHEM-SHCONBR</v>
          </cell>
          <cell r="B546" t="str">
            <v>VAR_ncap</v>
          </cell>
          <cell r="C546" t="str">
            <v>-</v>
          </cell>
          <cell r="D546">
            <v>1.2054105133859899E-8</v>
          </cell>
          <cell r="E546">
            <v>2.5622643186456899E-8</v>
          </cell>
          <cell r="F546">
            <v>1.01404152073012E-6</v>
          </cell>
          <cell r="G546">
            <v>1.27417089738123E-7</v>
          </cell>
          <cell r="H546">
            <v>5.8767968362141799E-7</v>
          </cell>
          <cell r="I546">
            <v>2.27870538785159E-5</v>
          </cell>
        </row>
        <row r="547">
          <cell r="A547" t="str">
            <v>RHEM-SHCONBR</v>
          </cell>
          <cell r="B547" t="str">
            <v>VAR_cap</v>
          </cell>
          <cell r="C547" t="str">
            <v>-</v>
          </cell>
          <cell r="D547">
            <v>1.2054105133859899E-8</v>
          </cell>
          <cell r="E547">
            <v>-2.7163425616849019E-7</v>
          </cell>
          <cell r="F547">
            <v>1.0195247041989445E-6</v>
          </cell>
          <cell r="G547">
            <v>1.1379501470399599E-6</v>
          </cell>
          <cell r="H547">
            <v>5.741158675421766E-6</v>
          </cell>
          <cell r="I547">
            <v>2.8622975771796101E-5</v>
          </cell>
        </row>
        <row r="548">
          <cell r="A548" t="str">
            <v>RHEM-SHSOLBR</v>
          </cell>
          <cell r="B548" t="str">
            <v>VAR_fout</v>
          </cell>
          <cell r="C548" t="str">
            <v>RHEM-SHASOL</v>
          </cell>
          <cell r="D548">
            <v>0.40801876366796214</v>
          </cell>
          <cell r="E548">
            <v>0.4708873400586629</v>
          </cell>
          <cell r="F548">
            <v>9.5857770982713791E-3</v>
          </cell>
          <cell r="G548">
            <v>1.2377215198246191E-2</v>
          </cell>
          <cell r="H548">
            <v>1.4480863942018073E-2</v>
          </cell>
          <cell r="I548">
            <v>1.4054643747426373E-2</v>
          </cell>
        </row>
        <row r="549">
          <cell r="A549" t="str">
            <v>RHEM-SHSOLBR</v>
          </cell>
          <cell r="B549" t="str">
            <v>VAR_fin</v>
          </cell>
          <cell r="C549" t="str">
            <v>SOL</v>
          </cell>
          <cell r="D549">
            <v>0.40801876366796214</v>
          </cell>
          <cell r="E549">
            <v>0.4708873400586629</v>
          </cell>
          <cell r="F549">
            <v>9.5857770982713791E-3</v>
          </cell>
          <cell r="G549">
            <v>1.2377215198246191E-2</v>
          </cell>
          <cell r="H549">
            <v>1.4480863942018073E-2</v>
          </cell>
          <cell r="I549">
            <v>1.4054643747426373E-2</v>
          </cell>
        </row>
        <row r="550">
          <cell r="A550" t="str">
            <v>RHEM-SHSOLBR</v>
          </cell>
          <cell r="B550" t="str">
            <v>VAR_ncap</v>
          </cell>
          <cell r="C550" t="str">
            <v>-</v>
          </cell>
          <cell r="D550">
            <v>8.1290501593182794E-6</v>
          </cell>
          <cell r="E550">
            <v>9.1236882098265602E-3</v>
          </cell>
          <cell r="F550">
            <v>9.0433670226314705E-8</v>
          </cell>
          <cell r="G550">
            <v>1.49283715532587E-7</v>
          </cell>
          <cell r="H550">
            <v>2.1284797689274499E-3</v>
          </cell>
          <cell r="I550">
            <v>5.8312357735537798E-4</v>
          </cell>
        </row>
        <row r="551">
          <cell r="A551" t="str">
            <v>RHEM-SHSOLBR</v>
          </cell>
          <cell r="B551" t="str">
            <v>VAR_cap</v>
          </cell>
          <cell r="C551" t="str">
            <v>-</v>
          </cell>
          <cell r="D551">
            <v>5.9263050467197619E-2</v>
          </cell>
          <cell r="E551">
            <v>6.8386703619946268E-2</v>
          </cell>
          <cell r="F551">
            <v>6.8385716724647438E-2</v>
          </cell>
          <cell r="G551">
            <v>6.8385409946042211E-2</v>
          </cell>
          <cell r="H551">
            <v>2.1288233850920713E-3</v>
          </cell>
          <cell r="I551">
            <v>2.127918174100778E-3</v>
          </cell>
        </row>
        <row r="552">
          <cell r="A552" t="str">
            <v>SCOM-SHH2BR</v>
          </cell>
          <cell r="B552" t="str">
            <v>VAR_ncap</v>
          </cell>
          <cell r="C552" t="str">
            <v>-</v>
          </cell>
          <cell r="G552">
            <v>4.2637754997660902E-7</v>
          </cell>
          <cell r="H552">
            <v>0.51234074402733998</v>
          </cell>
          <cell r="I552">
            <v>0.64624569452743597</v>
          </cell>
        </row>
        <row r="553">
          <cell r="A553" t="str">
            <v>SCOM-SHH2BR</v>
          </cell>
          <cell r="B553" t="str">
            <v>VAR_cap</v>
          </cell>
          <cell r="C553" t="str">
            <v>-</v>
          </cell>
          <cell r="G553">
            <v>4.2637754997660902E-7</v>
          </cell>
          <cell r="H553">
            <v>1.3889172275597912</v>
          </cell>
          <cell r="I553">
            <v>1.3888554383400216</v>
          </cell>
        </row>
        <row r="554">
          <cell r="A554" t="str">
            <v>ITOT-SWHCONBR1</v>
          </cell>
          <cell r="B554" t="str">
            <v>VAR_fout</v>
          </cell>
          <cell r="C554" t="str">
            <v>ITOT-ELS</v>
          </cell>
          <cell r="E554">
            <v>0.85060238654067244</v>
          </cell>
          <cell r="F554">
            <v>0.85060314832104966</v>
          </cell>
          <cell r="G554">
            <v>0.97004937538117664</v>
          </cell>
          <cell r="H554">
            <v>0.95523062912939838</v>
          </cell>
          <cell r="I554">
            <v>0.97003357909302268</v>
          </cell>
        </row>
        <row r="555">
          <cell r="A555" t="str">
            <v>ITOT-SWHCONBR1</v>
          </cell>
          <cell r="B555" t="str">
            <v>VAR_fout</v>
          </cell>
          <cell r="C555" t="str">
            <v>ITOT-SWHC</v>
          </cell>
          <cell r="E555">
            <v>4.0436366833478665</v>
          </cell>
          <cell r="F555">
            <v>4.0436403047379867</v>
          </cell>
          <cell r="G555">
            <v>4.6114698254052575</v>
          </cell>
          <cell r="H555">
            <v>4.5410237193361063</v>
          </cell>
          <cell r="I555">
            <v>4.6113947322110045</v>
          </cell>
        </row>
        <row r="556">
          <cell r="A556" t="str">
            <v>ITOT-SWHCONBR1</v>
          </cell>
          <cell r="B556" t="str">
            <v>VAR_fin</v>
          </cell>
          <cell r="C556" t="str">
            <v>CON</v>
          </cell>
          <cell r="E556">
            <v>4.894239069888541</v>
          </cell>
          <cell r="F556">
            <v>4.8942434530590351</v>
          </cell>
          <cell r="G556">
            <v>5.5815192007864267</v>
          </cell>
          <cell r="H556">
            <v>5.4962543484655075</v>
          </cell>
          <cell r="I556">
            <v>5.5814283113040295</v>
          </cell>
        </row>
        <row r="557">
          <cell r="A557" t="str">
            <v>ITOT-SWHCONBR1</v>
          </cell>
          <cell r="B557" t="str">
            <v>VAR_ncap</v>
          </cell>
          <cell r="C557" t="str">
            <v>-</v>
          </cell>
          <cell r="E557">
            <v>0.26616315978723598</v>
          </cell>
          <cell r="F557">
            <v>1.1872296500830101E-6</v>
          </cell>
          <cell r="G557">
            <v>3.7374663291224998E-2</v>
          </cell>
          <cell r="H557">
            <v>0.14358861606974199</v>
          </cell>
          <cell r="I557">
            <v>0.144428409110605</v>
          </cell>
        </row>
        <row r="558">
          <cell r="A558" t="str">
            <v>ITOT-SWHCONBR1</v>
          </cell>
          <cell r="B558" t="str">
            <v>VAR_cap</v>
          </cell>
          <cell r="C558" t="str">
            <v>-</v>
          </cell>
          <cell r="E558">
            <v>0.26616315978723598</v>
          </cell>
          <cell r="F558">
            <v>0.26616434701688602</v>
          </cell>
          <cell r="G558">
            <v>0.30353901030811098</v>
          </cell>
          <cell r="H558">
            <v>0.29891130855791398</v>
          </cell>
          <cell r="I558">
            <v>0.303538537017226</v>
          </cell>
        </row>
        <row r="559">
          <cell r="A559" t="str">
            <v>SCOM-SHLTHCHPWOD</v>
          </cell>
          <cell r="B559" t="str">
            <v>VAR_ncap</v>
          </cell>
          <cell r="C559" t="str">
            <v>-</v>
          </cell>
          <cell r="G559">
            <v>4.9213954378792301E-5</v>
          </cell>
          <cell r="H559">
            <v>8.6116400283698305E-5</v>
          </cell>
          <cell r="I559">
            <v>2.90257258244519E-5</v>
          </cell>
        </row>
        <row r="560">
          <cell r="A560" t="str">
            <v>SCOM-SHLTHCHPWOD</v>
          </cell>
          <cell r="B560" t="str">
            <v>VAR_cap</v>
          </cell>
          <cell r="C560" t="str">
            <v>-</v>
          </cell>
          <cell r="G560">
            <v>4.9213954378792301E-5</v>
          </cell>
          <cell r="H560">
            <v>1.14146818615382E-4</v>
          </cell>
          <cell r="I560">
            <v>5.0069669634973893E-5</v>
          </cell>
        </row>
        <row r="561">
          <cell r="A561" t="str">
            <v>SCOM-SHSTG-NGAHP</v>
          </cell>
          <cell r="B561" t="str">
            <v>VAR_fout</v>
          </cell>
          <cell r="C561" t="str">
            <v>SCOM-SHANGAH</v>
          </cell>
          <cell r="D561">
            <v>1.0836259006415905E-4</v>
          </cell>
          <cell r="E561">
            <v>1.4658720860017701E-4</v>
          </cell>
          <cell r="F561">
            <v>4.0542698981704608E-5</v>
          </cell>
          <cell r="G561">
            <v>2.7399321808162644E-5</v>
          </cell>
          <cell r="H561">
            <v>1.9322058073595085E-5</v>
          </cell>
          <cell r="I561">
            <v>5.3063787899870972E-6</v>
          </cell>
        </row>
        <row r="562">
          <cell r="A562" t="str">
            <v>SCOM-SHSTG-NGAHP</v>
          </cell>
          <cell r="B562" t="str">
            <v>VAR_fin</v>
          </cell>
          <cell r="C562" t="str">
            <v>SCOM-SHANGAH</v>
          </cell>
          <cell r="D562">
            <v>1.0836259006415905E-4</v>
          </cell>
          <cell r="E562">
            <v>1.4658720860017701E-4</v>
          </cell>
          <cell r="F562">
            <v>3.5705100015906952E-5</v>
          </cell>
          <cell r="G562">
            <v>3.3828445853543269E-5</v>
          </cell>
          <cell r="H562">
            <v>1.9636919047974324E-5</v>
          </cell>
          <cell r="I562">
            <v>5.2657702067515276E-6</v>
          </cell>
        </row>
        <row r="563">
          <cell r="A563" t="str">
            <v>SCOM-SHSTG-NGAHP</v>
          </cell>
          <cell r="B563" t="str">
            <v>VAR_ncap</v>
          </cell>
          <cell r="C563" t="str">
            <v>-</v>
          </cell>
          <cell r="D563">
            <v>6.0840813372012997E-4</v>
          </cell>
          <cell r="E563">
            <v>3.8328602578250197E-6</v>
          </cell>
          <cell r="F563">
            <v>3.3046313202627797E-2</v>
          </cell>
          <cell r="G563">
            <v>2.3267364329571501E-2</v>
          </cell>
          <cell r="H563">
            <v>5.4136245315951403E-2</v>
          </cell>
          <cell r="I563">
            <v>4.94791150099258E-2</v>
          </cell>
        </row>
        <row r="564">
          <cell r="A564" t="str">
            <v>SCOM-SHSTG-NGAHP</v>
          </cell>
          <cell r="B564" t="str">
            <v>VAR_cap</v>
          </cell>
          <cell r="C564" t="str">
            <v>-</v>
          </cell>
          <cell r="D564">
            <v>6.0840813372012997E-4</v>
          </cell>
          <cell r="E564">
            <v>3.8105035842589613E-6</v>
          </cell>
          <cell r="F564">
            <v>3.3049942479376697E-2</v>
          </cell>
          <cell r="G564">
            <v>5.6315986244485375E-2</v>
          </cell>
          <cell r="H564">
            <v>9.3328455939488422E-2</v>
          </cell>
          <cell r="I564">
            <v>9.6137434966512142E-2</v>
          </cell>
        </row>
        <row r="565">
          <cell r="A565" t="str">
            <v>ITOT-SWHCONBR2</v>
          </cell>
          <cell r="B565" t="str">
            <v>VAR_fout</v>
          </cell>
          <cell r="C565" t="str">
            <v>ITOT-ELS</v>
          </cell>
          <cell r="G565">
            <v>0.88014578812292033</v>
          </cell>
          <cell r="H565">
            <v>0.88011563153258454</v>
          </cell>
          <cell r="I565">
            <v>0.88001820902335659</v>
          </cell>
        </row>
        <row r="566">
          <cell r="A566" t="str">
            <v>ITOT-SWHCONBR2</v>
          </cell>
          <cell r="B566" t="str">
            <v>VAR_fout</v>
          </cell>
          <cell r="C566" t="str">
            <v>ITOT-SWHC</v>
          </cell>
          <cell r="G566">
            <v>1.3605369537391381</v>
          </cell>
          <cell r="H566">
            <v>1.3604903374215873</v>
          </cell>
          <cell r="I566">
            <v>1.3603397408661972</v>
          </cell>
        </row>
        <row r="567">
          <cell r="A567" t="str">
            <v>ITOT-SWHCONBR2</v>
          </cell>
          <cell r="B567" t="str">
            <v>VAR_fin</v>
          </cell>
          <cell r="C567" t="str">
            <v>CON</v>
          </cell>
          <cell r="G567">
            <v>2.2406827418620558</v>
          </cell>
          <cell r="H567">
            <v>2.2406059689541697</v>
          </cell>
          <cell r="I567">
            <v>2.2403579498895545</v>
          </cell>
        </row>
        <row r="568">
          <cell r="A568" t="str">
            <v>ITOT-SWHCONBR2</v>
          </cell>
          <cell r="B568" t="str">
            <v>VAR_ncap</v>
          </cell>
          <cell r="C568" t="str">
            <v>-</v>
          </cell>
          <cell r="G568">
            <v>0.121855600131444</v>
          </cell>
          <cell r="H568">
            <v>3.8630174103547701E-2</v>
          </cell>
          <cell r="I568">
            <v>9.3820929271956593E-2</v>
          </cell>
        </row>
        <row r="569">
          <cell r="A569" t="str">
            <v>ITOT-SWHCONBR2</v>
          </cell>
          <cell r="B569" t="str">
            <v>VAR_cap</v>
          </cell>
          <cell r="C569" t="str">
            <v>-</v>
          </cell>
          <cell r="G569">
            <v>0.121855600131444</v>
          </cell>
          <cell r="H569">
            <v>0.121856799715533</v>
          </cell>
          <cell r="I569">
            <v>0.121856530370319</v>
          </cell>
        </row>
        <row r="570">
          <cell r="A570" t="str">
            <v>RHES-SHCONBR1</v>
          </cell>
          <cell r="B570" t="str">
            <v>VAR_fout</v>
          </cell>
          <cell r="C570" t="str">
            <v>RHES-SHCON</v>
          </cell>
          <cell r="D570">
            <v>1.3196717521699685E-2</v>
          </cell>
          <cell r="E570">
            <v>1.1277125385039399</v>
          </cell>
          <cell r="F570">
            <v>0.69373332408034349</v>
          </cell>
          <cell r="G570">
            <v>1.9355786175879153</v>
          </cell>
          <cell r="H570">
            <v>4.011058869587858</v>
          </cell>
          <cell r="I570">
            <v>6.4142513011659874</v>
          </cell>
        </row>
        <row r="571">
          <cell r="A571" t="str">
            <v>RHES-SHCONBR1</v>
          </cell>
          <cell r="B571" t="str">
            <v>VAR_fin</v>
          </cell>
          <cell r="C571" t="str">
            <v>CON</v>
          </cell>
          <cell r="D571">
            <v>1.3196717521699685E-2</v>
          </cell>
          <cell r="E571">
            <v>1.1277125385039399</v>
          </cell>
          <cell r="F571">
            <v>0.69373332408034349</v>
          </cell>
          <cell r="G571">
            <v>1.9355786175879153</v>
          </cell>
          <cell r="H571">
            <v>4.011058869587858</v>
          </cell>
          <cell r="I571">
            <v>6.4142513011659874</v>
          </cell>
        </row>
        <row r="572">
          <cell r="A572" t="str">
            <v>RHES-SHCONBR1</v>
          </cell>
          <cell r="B572" t="str">
            <v>VAR_ncap</v>
          </cell>
          <cell r="C572" t="str">
            <v>-</v>
          </cell>
          <cell r="D572">
            <v>4.5550008215630503E-2</v>
          </cell>
          <cell r="E572">
            <v>4.5550008004588798E-2</v>
          </cell>
          <cell r="F572">
            <v>7.1435435412121598E-8</v>
          </cell>
          <cell r="G572">
            <v>6.5289414930953901E-2</v>
          </cell>
          <cell r="H572">
            <v>4.2467740791297497E-2</v>
          </cell>
          <cell r="I572">
            <v>0.236068886134147</v>
          </cell>
        </row>
        <row r="573">
          <cell r="A573" t="str">
            <v>RHES-SHCONBR1</v>
          </cell>
          <cell r="B573" t="str">
            <v>VAR_cap</v>
          </cell>
          <cell r="C573" t="str">
            <v>-</v>
          </cell>
          <cell r="D573">
            <v>4.5550008215630503E-2</v>
          </cell>
          <cell r="E573">
            <v>9.1100016220219293E-2</v>
          </cell>
          <cell r="F573">
            <v>9.1099055609400972E-2</v>
          </cell>
          <cell r="G573">
            <v>0.15638920842238999</v>
          </cell>
          <cell r="H573">
            <v>0.32404559955883416</v>
          </cell>
          <cell r="I573">
            <v>0.5181906598929702</v>
          </cell>
        </row>
        <row r="574">
          <cell r="A574" t="str">
            <v>ITOT-SWHCONBR3</v>
          </cell>
          <cell r="B574" t="str">
            <v>VAR_fout</v>
          </cell>
          <cell r="C574" t="str">
            <v>ITOT-ELS</v>
          </cell>
          <cell r="G574">
            <v>7.4463023539234627E-4</v>
          </cell>
          <cell r="H574">
            <v>2.2999423914625696</v>
          </cell>
          <cell r="I574">
            <v>2.2996439969100986</v>
          </cell>
        </row>
        <row r="575">
          <cell r="A575" t="str">
            <v>ITOT-SWHCONBR3</v>
          </cell>
          <cell r="B575" t="str">
            <v>VAR_fout</v>
          </cell>
          <cell r="C575" t="str">
            <v>ITOT-SWHC</v>
          </cell>
          <cell r="G575">
            <v>1.4777609424721561E-3</v>
          </cell>
          <cell r="H575">
            <v>4.5643661437526566</v>
          </cell>
          <cell r="I575">
            <v>4.5637739628363638</v>
          </cell>
        </row>
        <row r="576">
          <cell r="A576" t="str">
            <v>ITOT-SWHCONBR3</v>
          </cell>
          <cell r="B576" t="str">
            <v>VAR_fin</v>
          </cell>
          <cell r="C576" t="str">
            <v>CON</v>
          </cell>
          <cell r="G576">
            <v>2.2223911778645042E-3</v>
          </cell>
          <cell r="H576">
            <v>6.8643085352152253</v>
          </cell>
          <cell r="I576">
            <v>6.8634179597464628</v>
          </cell>
        </row>
        <row r="577">
          <cell r="A577" t="str">
            <v>ITOT-SWHCONBR3</v>
          </cell>
          <cell r="B577" t="str">
            <v>VAR_ncap</v>
          </cell>
          <cell r="C577" t="str">
            <v>-</v>
          </cell>
          <cell r="G577">
            <v>1.20097422998266E-4</v>
          </cell>
          <cell r="H577">
            <v>4.0041927880240102E-5</v>
          </cell>
          <cell r="I577">
            <v>0.215426138721384</v>
          </cell>
        </row>
        <row r="578">
          <cell r="A578" t="str">
            <v>ITOT-SWHCONBR3</v>
          </cell>
          <cell r="B578" t="str">
            <v>VAR_cap</v>
          </cell>
          <cell r="C578" t="str">
            <v>-</v>
          </cell>
          <cell r="G578">
            <v>1.20097422998266E-4</v>
          </cell>
          <cell r="H578">
            <v>0.373312550494108</v>
          </cell>
          <cell r="I578">
            <v>0.373312777015679</v>
          </cell>
        </row>
        <row r="579">
          <cell r="A579" t="str">
            <v>ITOT-ELCSPECADV</v>
          </cell>
          <cell r="B579" t="str">
            <v>VAR_fout</v>
          </cell>
          <cell r="C579" t="str">
            <v>ITOT-ELS</v>
          </cell>
          <cell r="G579">
            <v>4.4211750164827805E-4</v>
          </cell>
          <cell r="H579">
            <v>0.15768541736606081</v>
          </cell>
          <cell r="I579">
            <v>0.44033632008898055</v>
          </cell>
        </row>
        <row r="580">
          <cell r="A580" t="str">
            <v>ITOT-ELCSPECADV</v>
          </cell>
          <cell r="B580" t="str">
            <v>VAR_fin</v>
          </cell>
          <cell r="C580" t="str">
            <v>ITOT_ELC</v>
          </cell>
          <cell r="G580">
            <v>3.8067631314963506E-4</v>
          </cell>
          <cell r="H580">
            <v>0.12916625312702087</v>
          </cell>
          <cell r="I580">
            <v>0.32328980836335586</v>
          </cell>
        </row>
        <row r="581">
          <cell r="A581" t="str">
            <v>ITOT-ELCSPECADV</v>
          </cell>
          <cell r="B581" t="str">
            <v>VAR_ncap</v>
          </cell>
          <cell r="C581" t="str">
            <v>-</v>
          </cell>
          <cell r="G581">
            <v>2.5146565175332701E-5</v>
          </cell>
          <cell r="H581">
            <v>8.5382707299614599E-3</v>
          </cell>
          <cell r="I581">
            <v>1.5378968130603301E-2</v>
          </cell>
        </row>
        <row r="582">
          <cell r="A582" t="str">
            <v>ITOT-ELCSPECADV</v>
          </cell>
          <cell r="B582" t="str">
            <v>VAR_cap</v>
          </cell>
          <cell r="C582" t="str">
            <v>-</v>
          </cell>
          <cell r="G582">
            <v>2.5146565175332701E-5</v>
          </cell>
          <cell r="H582">
            <v>8.5763591240449535E-3</v>
          </cell>
          <cell r="I582">
            <v>2.3946484133443063E-2</v>
          </cell>
        </row>
        <row r="583">
          <cell r="A583" t="str">
            <v>RHES-SHELCBR</v>
          </cell>
          <cell r="B583" t="str">
            <v>VAR_fout</v>
          </cell>
          <cell r="C583" t="str">
            <v>RHES-SHAELCB</v>
          </cell>
          <cell r="D583">
            <v>4.2799974092058637</v>
          </cell>
          <cell r="E583">
            <v>4.4886813708304878</v>
          </cell>
          <cell r="F583">
            <v>0.78046423430489509</v>
          </cell>
          <cell r="G583">
            <v>0.18349112640500223</v>
          </cell>
          <cell r="H583">
            <v>2.1772119521641627E-3</v>
          </cell>
          <cell r="I583">
            <v>6.9950237799614671E-4</v>
          </cell>
        </row>
        <row r="584">
          <cell r="A584" t="str">
            <v>RHES-SHELCBR</v>
          </cell>
          <cell r="B584" t="str">
            <v>VAR_fin</v>
          </cell>
          <cell r="C584" t="str">
            <v>RHES_ELC</v>
          </cell>
          <cell r="D584">
            <v>4.505260430743018</v>
          </cell>
          <cell r="E584">
            <v>4.7249277587689349</v>
          </cell>
          <cell r="F584">
            <v>0.85075551958006734</v>
          </cell>
          <cell r="G584">
            <v>0.20001696646874859</v>
          </cell>
          <cell r="H584">
            <v>2.3690220535900605E-3</v>
          </cell>
          <cell r="I584">
            <v>7.5148773961523918E-4</v>
          </cell>
        </row>
        <row r="585">
          <cell r="A585" t="str">
            <v>RHES-SHELCBR</v>
          </cell>
          <cell r="B585" t="str">
            <v>VAR_ncap</v>
          </cell>
          <cell r="C585" t="str">
            <v>-</v>
          </cell>
          <cell r="D585">
            <v>9.6952634293495994E-8</v>
          </cell>
          <cell r="E585">
            <v>1.68677271823452E-2</v>
          </cell>
          <cell r="F585">
            <v>6.5680743880957502E-8</v>
          </cell>
          <cell r="G585">
            <v>1.2229465987124099E-7</v>
          </cell>
          <cell r="H585">
            <v>1.9966541784104699E-4</v>
          </cell>
          <cell r="I585">
            <v>9.08809682126892E-8</v>
          </cell>
        </row>
        <row r="586">
          <cell r="A586" t="str">
            <v>RHES-SHELCBR</v>
          </cell>
          <cell r="B586" t="str">
            <v>VAR_cap</v>
          </cell>
          <cell r="C586" t="str">
            <v>-</v>
          </cell>
          <cell r="D586">
            <v>0.34576939682896729</v>
          </cell>
          <cell r="E586">
            <v>0.36263705817540115</v>
          </cell>
          <cell r="F586">
            <v>0.10904024481990438</v>
          </cell>
          <cell r="G586">
            <v>2.6016971308414294E-2</v>
          </cell>
          <cell r="H586">
            <v>2.005419603550284E-4</v>
          </cell>
          <cell r="I586">
            <v>5.6319544403459312E-5</v>
          </cell>
        </row>
        <row r="587">
          <cell r="A587" t="str">
            <v>RHSA-WHELCBR</v>
          </cell>
          <cell r="B587" t="str">
            <v>VAR_fout</v>
          </cell>
          <cell r="C587" t="str">
            <v>RHSA-WHAELCB</v>
          </cell>
          <cell r="D587">
            <v>6.6447180919694624</v>
          </cell>
          <cell r="E587">
            <v>6.9687126647400737</v>
          </cell>
          <cell r="F587">
            <v>2.8128865270081933</v>
          </cell>
          <cell r="G587">
            <v>1.9847599750928619</v>
          </cell>
          <cell r="H587">
            <v>1.7203321511334018</v>
          </cell>
          <cell r="I587">
            <v>1.5633545738851944</v>
          </cell>
        </row>
        <row r="588">
          <cell r="A588" t="str">
            <v>RHSA-WHELCBR</v>
          </cell>
          <cell r="B588" t="str">
            <v>VAR_fin</v>
          </cell>
          <cell r="C588" t="str">
            <v>RHSA_ELC</v>
          </cell>
          <cell r="D588">
            <v>8.4110355594550246</v>
          </cell>
          <cell r="E588">
            <v>8.79887962719706</v>
          </cell>
          <cell r="F588">
            <v>6.0408819517341552</v>
          </cell>
          <cell r="G588">
            <v>4.0920341176331352</v>
          </cell>
          <cell r="H588">
            <v>3.410609790568794</v>
          </cell>
          <cell r="I588">
            <v>3.01259525794692</v>
          </cell>
        </row>
        <row r="589">
          <cell r="A589" t="str">
            <v>RHSA-WHELCBR</v>
          </cell>
          <cell r="B589" t="str">
            <v>VAR_ncap</v>
          </cell>
          <cell r="C589" t="str">
            <v>-</v>
          </cell>
          <cell r="D589">
            <v>4.6439782275253796E-6</v>
          </cell>
          <cell r="E589">
            <v>3.4527898838790899E-2</v>
          </cell>
          <cell r="F589">
            <v>1.1246137561502E-7</v>
          </cell>
          <cell r="G589">
            <v>1.99905755607881E-7</v>
          </cell>
          <cell r="H589">
            <v>0.136949896333626</v>
          </cell>
          <cell r="I589">
            <v>1.3909095078375201E-6</v>
          </cell>
        </row>
        <row r="590">
          <cell r="A590" t="str">
            <v>RHSA-WHELCBR</v>
          </cell>
          <cell r="B590" t="str">
            <v>VAR_cap</v>
          </cell>
          <cell r="C590" t="str">
            <v>-</v>
          </cell>
          <cell r="D590">
            <v>0.43757323275190452</v>
          </cell>
          <cell r="E590">
            <v>0.47210099938164629</v>
          </cell>
          <cell r="F590">
            <v>0.32876940248106412</v>
          </cell>
          <cell r="G590">
            <v>0.24215348746039872</v>
          </cell>
          <cell r="H590">
            <v>0.20226984814177057</v>
          </cell>
          <cell r="I590">
            <v>0.12702009599873743</v>
          </cell>
        </row>
        <row r="591">
          <cell r="A591" t="str">
            <v>ITOT-SWHLTHDH</v>
          </cell>
          <cell r="B591" t="str">
            <v>VAR_fout</v>
          </cell>
          <cell r="C591" t="str">
            <v>ITOT-SWH</v>
          </cell>
          <cell r="D591">
            <v>6.5822793463822977</v>
          </cell>
          <cell r="E591">
            <v>7.0678503556275007</v>
          </cell>
          <cell r="F591">
            <v>6.867784703097179</v>
          </cell>
          <cell r="G591">
            <v>7.0524814919154046</v>
          </cell>
          <cell r="H591">
            <v>6.0329420251738375</v>
          </cell>
          <cell r="I591">
            <v>6.7315814968446297</v>
          </cell>
        </row>
        <row r="592">
          <cell r="A592" t="str">
            <v>ITOT-SWHLTHDH</v>
          </cell>
          <cell r="B592" t="str">
            <v>VAR_fin</v>
          </cell>
          <cell r="C592" t="str">
            <v>ITOT_LTH_DH</v>
          </cell>
          <cell r="D592">
            <v>7.1200090411603778</v>
          </cell>
          <cell r="E592">
            <v>7.6289079867003018</v>
          </cell>
          <cell r="F592">
            <v>7.3892713185646377</v>
          </cell>
          <cell r="G592">
            <v>7.5477919715634734</v>
          </cell>
          <cell r="H592">
            <v>6.3889517973275325</v>
          </cell>
          <cell r="I592">
            <v>7.0858752598364569</v>
          </cell>
        </row>
        <row r="593">
          <cell r="A593" t="str">
            <v>ITOT-SWHLTHDH</v>
          </cell>
          <cell r="B593" t="str">
            <v>VAR_fin</v>
          </cell>
          <cell r="C593" t="str">
            <v>ITOTLTHDHC</v>
          </cell>
          <cell r="D593">
            <v>6.5822793463822977</v>
          </cell>
          <cell r="E593">
            <v>7.0678503556275007</v>
          </cell>
          <cell r="F593">
            <v>6.867784703097179</v>
          </cell>
          <cell r="G593">
            <v>7.0524814919154046</v>
          </cell>
          <cell r="H593">
            <v>6.0329420251738375</v>
          </cell>
          <cell r="I593">
            <v>6.7315814968446297</v>
          </cell>
        </row>
        <row r="594">
          <cell r="A594" t="str">
            <v>ITOT-SWHLTHDH</v>
          </cell>
          <cell r="B594" t="str">
            <v>VAR_ncap</v>
          </cell>
          <cell r="C594" t="str">
            <v>-</v>
          </cell>
          <cell r="E594">
            <v>2.1208827105341801E-2</v>
          </cell>
          <cell r="F594">
            <v>6.8090605380533506E-2</v>
          </cell>
          <cell r="G594">
            <v>9.7360169816684994E-2</v>
          </cell>
          <cell r="H594">
            <v>0.18302856804095799</v>
          </cell>
          <cell r="I594">
            <v>0.29194153772599202</v>
          </cell>
        </row>
        <row r="595">
          <cell r="A595" t="str">
            <v>ITOT-SWHLTHDH</v>
          </cell>
          <cell r="B595" t="str">
            <v>VAR_cap</v>
          </cell>
          <cell r="C595" t="str">
            <v>-</v>
          </cell>
          <cell r="D595">
            <v>0.79547229253225304</v>
          </cell>
          <cell r="E595">
            <v>0.55469544740814181</v>
          </cell>
          <cell r="F595">
            <v>0.6020027501713654</v>
          </cell>
          <cell r="G595">
            <v>0.67901726535842999</v>
          </cell>
          <cell r="H595">
            <v>0.49799205915956757</v>
          </cell>
          <cell r="I595">
            <v>0.52161613080572744</v>
          </cell>
        </row>
        <row r="596">
          <cell r="A596" t="str">
            <v>RHES-SHCONBR2</v>
          </cell>
          <cell r="B596" t="str">
            <v>VAR_fout</v>
          </cell>
          <cell r="C596" t="str">
            <v>RHES-SHCON</v>
          </cell>
          <cell r="D596">
            <v>1.1517062395185991E-2</v>
          </cell>
          <cell r="E596">
            <v>0.82073205625022505</v>
          </cell>
          <cell r="F596">
            <v>0.48703976543124938</v>
          </cell>
          <cell r="G596">
            <v>0.82073726971827177</v>
          </cell>
          <cell r="H596">
            <v>2.9191107828536857</v>
          </cell>
          <cell r="I596">
            <v>4.6680840946502897</v>
          </cell>
        </row>
        <row r="597">
          <cell r="A597" t="str">
            <v>RHES-SHCONBR2</v>
          </cell>
          <cell r="B597" t="str">
            <v>VAR_fin</v>
          </cell>
          <cell r="C597" t="str">
            <v>CON</v>
          </cell>
          <cell r="D597">
            <v>1.1517062395185991E-2</v>
          </cell>
          <cell r="E597">
            <v>0.82073205625022505</v>
          </cell>
          <cell r="F597">
            <v>0.48703976543124938</v>
          </cell>
          <cell r="G597">
            <v>0.82073726971827177</v>
          </cell>
          <cell r="H597">
            <v>2.9191107828536857</v>
          </cell>
          <cell r="I597">
            <v>4.6680840946502897</v>
          </cell>
        </row>
        <row r="598">
          <cell r="A598" t="str">
            <v>RHES-SHCONBR2</v>
          </cell>
          <cell r="B598" t="str">
            <v>VAR_ncap</v>
          </cell>
          <cell r="C598" t="str">
            <v>-</v>
          </cell>
          <cell r="D598">
            <v>3.31498846132866E-2</v>
          </cell>
          <cell r="E598">
            <v>3.3149884825268899E-2</v>
          </cell>
          <cell r="F598">
            <v>7.0975116038053401E-8</v>
          </cell>
          <cell r="G598">
            <v>2.3590865581505702E-5</v>
          </cell>
          <cell r="H598">
            <v>0.12116210912310001</v>
          </cell>
          <cell r="I598">
            <v>0.17180298460674601</v>
          </cell>
        </row>
        <row r="599">
          <cell r="A599" t="str">
            <v>RHES-SHCONBR2</v>
          </cell>
          <cell r="B599" t="str">
            <v>VAR_cap</v>
          </cell>
          <cell r="C599" t="str">
            <v>-</v>
          </cell>
          <cell r="D599">
            <v>3.31498846132866E-2</v>
          </cell>
          <cell r="E599">
            <v>6.6299769438555603E-2</v>
          </cell>
          <cell r="F599">
            <v>6.6298823788424499E-2</v>
          </cell>
          <cell r="G599">
            <v>6.6323141467927643E-2</v>
          </cell>
          <cell r="H599">
            <v>0.23582949787568813</v>
          </cell>
          <cell r="I599">
            <v>0.37712165191233021</v>
          </cell>
        </row>
        <row r="600">
          <cell r="A600" t="str">
            <v>ITOT-SWHCONBR4</v>
          </cell>
          <cell r="B600" t="str">
            <v>VAR_fout</v>
          </cell>
          <cell r="C600" t="str">
            <v>ITOT-ELS</v>
          </cell>
          <cell r="H600">
            <v>0.25448655562255573</v>
          </cell>
          <cell r="I600">
            <v>0.28058523061451857</v>
          </cell>
        </row>
        <row r="601">
          <cell r="A601" t="str">
            <v>ITOT-SWHCONBR4</v>
          </cell>
          <cell r="B601" t="str">
            <v>VAR_fout</v>
          </cell>
          <cell r="C601" t="str">
            <v>ITOT-SWHC</v>
          </cell>
          <cell r="H601">
            <v>2.7348495509985615</v>
          </cell>
          <cell r="I601">
            <v>3.0153199648827784</v>
          </cell>
        </row>
        <row r="602">
          <cell r="A602" t="str">
            <v>ITOT-SWHCONBR4</v>
          </cell>
          <cell r="B602" t="str">
            <v>VAR_fin</v>
          </cell>
          <cell r="C602" t="str">
            <v>CON</v>
          </cell>
          <cell r="H602">
            <v>2.9893361066211157</v>
          </cell>
          <cell r="I602">
            <v>3.2959051954972982</v>
          </cell>
        </row>
        <row r="603">
          <cell r="A603" t="str">
            <v>ITOT-SWHCONBR4</v>
          </cell>
          <cell r="B603" t="str">
            <v>VAR_ncap</v>
          </cell>
          <cell r="C603" t="str">
            <v>-</v>
          </cell>
          <cell r="H603">
            <v>8.9005460727582902E-8</v>
          </cell>
          <cell r="I603">
            <v>0.110475655115128</v>
          </cell>
        </row>
        <row r="604">
          <cell r="A604" t="str">
            <v>ITOT-SWHCONBR4</v>
          </cell>
          <cell r="B604" t="str">
            <v>VAR_cap</v>
          </cell>
          <cell r="C604" t="str">
            <v>-</v>
          </cell>
          <cell r="H604">
            <v>0.16257216277549799</v>
          </cell>
          <cell r="I604">
            <v>0.179242837371903</v>
          </cell>
        </row>
        <row r="605">
          <cell r="A605" t="str">
            <v>D-ITOT_NKEV_GAS_ELC_CHP</v>
          </cell>
          <cell r="B605" t="str">
            <v>VAR_fout</v>
          </cell>
          <cell r="C605" t="str">
            <v>ITOT_ELC</v>
          </cell>
          <cell r="D605">
            <v>0.66800322631311859</v>
          </cell>
          <cell r="E605">
            <v>8.8611114127383567E-2</v>
          </cell>
          <cell r="F605">
            <v>5.0623994980033338E-2</v>
          </cell>
          <cell r="G605">
            <v>0.10583975397043598</v>
          </cell>
          <cell r="H605">
            <v>0.62178881842805744</v>
          </cell>
          <cell r="I605">
            <v>0.59807229077015633</v>
          </cell>
        </row>
        <row r="606">
          <cell r="A606" t="str">
            <v>D-ITOT_NKEV_GAS_ELC_CHP</v>
          </cell>
          <cell r="B606" t="str">
            <v>VAR_fout</v>
          </cell>
          <cell r="C606" t="str">
            <v>ELC5</v>
          </cell>
          <cell r="D606">
            <v>1.9773109713345383E-3</v>
          </cell>
          <cell r="E606">
            <v>1.1176097193704453E-3</v>
          </cell>
          <cell r="F606">
            <v>9.0007890745008232E-4</v>
          </cell>
          <cell r="G606">
            <v>1.0347078287104099E-3</v>
          </cell>
          <cell r="H606">
            <v>4.8198055815337794E-2</v>
          </cell>
          <cell r="I606">
            <v>7.1910913264582488E-2</v>
          </cell>
        </row>
        <row r="607">
          <cell r="A607" t="str">
            <v>D-ITOT_NKEV_GAS_ELC_CHP</v>
          </cell>
          <cell r="B607" t="str">
            <v>VAR_fin</v>
          </cell>
          <cell r="C607" t="str">
            <v>ITOT_NKEV_GAS_ELC_CHP</v>
          </cell>
          <cell r="D607">
            <v>0.66998053728445306</v>
          </cell>
          <cell r="E607">
            <v>8.9728723846753983E-2</v>
          </cell>
          <cell r="F607">
            <v>5.1512683758403781E-2</v>
          </cell>
          <cell r="G607">
            <v>0.10687446179914634</v>
          </cell>
          <cell r="H607">
            <v>0.66998687424339487</v>
          </cell>
          <cell r="I607">
            <v>0.66998320403473943</v>
          </cell>
        </row>
        <row r="608">
          <cell r="A608" t="str">
            <v>SCOM-SHELCBR</v>
          </cell>
          <cell r="B608" t="str">
            <v>VAR_fout</v>
          </cell>
          <cell r="C608" t="str">
            <v>SCOM-SHAELCB</v>
          </cell>
          <cell r="D608">
            <v>2.3940566405692616</v>
          </cell>
          <cell r="E608">
            <v>0.25527027143349157</v>
          </cell>
          <cell r="F608">
            <v>0.51353642039265535</v>
          </cell>
          <cell r="G608">
            <v>0.29210804953843245</v>
          </cell>
          <cell r="H608">
            <v>0.21407541540488012</v>
          </cell>
          <cell r="I608">
            <v>0.16092055229375374</v>
          </cell>
        </row>
        <row r="609">
          <cell r="A609" t="str">
            <v>SCOM-SHELCBR</v>
          </cell>
          <cell r="B609" t="str">
            <v>VAR_fin</v>
          </cell>
          <cell r="C609" t="str">
            <v>SCOM_ELC</v>
          </cell>
          <cell r="D609">
            <v>2.6236237156923421</v>
          </cell>
          <cell r="E609">
            <v>0.27898390320600153</v>
          </cell>
          <cell r="F609">
            <v>1.084309209486735</v>
          </cell>
          <cell r="G609">
            <v>0.59138877788467725</v>
          </cell>
          <cell r="H609">
            <v>0.41928448952670605</v>
          </cell>
          <cell r="I609">
            <v>0.30031547546201742</v>
          </cell>
        </row>
        <row r="610">
          <cell r="A610" t="str">
            <v>SCOM-SHELCBR</v>
          </cell>
          <cell r="B610" t="str">
            <v>VAR_ncap</v>
          </cell>
          <cell r="C610" t="str">
            <v>-</v>
          </cell>
          <cell r="D610">
            <v>8.0136574340485496E-7</v>
          </cell>
          <cell r="E610">
            <v>3.9144384854143701E-7</v>
          </cell>
          <cell r="F610">
            <v>5.8814876001119501E-7</v>
          </cell>
          <cell r="G610">
            <v>7.52920196783655E-7</v>
          </cell>
          <cell r="H610">
            <v>1.49115652799864E-2</v>
          </cell>
          <cell r="I610">
            <v>3.5673987617078798E-6</v>
          </cell>
        </row>
        <row r="611">
          <cell r="A611" t="str">
            <v>SCOM-SHELCBR</v>
          </cell>
          <cell r="B611" t="str">
            <v>VAR_cap</v>
          </cell>
          <cell r="C611" t="str">
            <v>-</v>
          </cell>
          <cell r="D611">
            <v>0.18498884971718541</v>
          </cell>
          <cell r="E611">
            <v>4.2649709618251957E-2</v>
          </cell>
          <cell r="F611">
            <v>4.2647333679646959E-2</v>
          </cell>
          <cell r="G611">
            <v>4.0425690163647748E-2</v>
          </cell>
          <cell r="H611">
            <v>3.1667499981388798E-2</v>
          </cell>
          <cell r="I611">
            <v>1.7910984279001445E-2</v>
          </cell>
        </row>
        <row r="612">
          <cell r="A612" t="str">
            <v>RHES-SHCONBR3</v>
          </cell>
          <cell r="B612" t="str">
            <v>VAR_fout</v>
          </cell>
          <cell r="C612" t="str">
            <v>RHES-SHCON</v>
          </cell>
          <cell r="D612">
            <v>1.4540243586937663E-2</v>
          </cell>
          <cell r="E612">
            <v>1.3391749109200879</v>
          </cell>
          <cell r="F612">
            <v>0.84048457568103307</v>
          </cell>
          <cell r="G612">
            <v>1.338888005289081</v>
          </cell>
          <cell r="H612">
            <v>1.3390961509745987</v>
          </cell>
          <cell r="I612">
            <v>1.131474493077528</v>
          </cell>
        </row>
        <row r="613">
          <cell r="A613" t="str">
            <v>RHES-SHCONBR3</v>
          </cell>
          <cell r="B613" t="str">
            <v>VAR_fin</v>
          </cell>
          <cell r="C613" t="str">
            <v>CON</v>
          </cell>
          <cell r="D613">
            <v>1.4540243586937663E-2</v>
          </cell>
          <cell r="E613">
            <v>1.3391749109200879</v>
          </cell>
          <cell r="F613">
            <v>0.84048457568103307</v>
          </cell>
          <cell r="G613">
            <v>1.338888005289081</v>
          </cell>
          <cell r="H613">
            <v>1.3390961509745987</v>
          </cell>
          <cell r="I613">
            <v>1.131474493077528</v>
          </cell>
        </row>
        <row r="614">
          <cell r="A614" t="str">
            <v>RHES-SHCONBR3</v>
          </cell>
          <cell r="B614" t="str">
            <v>VAR_ncap</v>
          </cell>
          <cell r="C614" t="str">
            <v>-</v>
          </cell>
          <cell r="D614">
            <v>5.34290692867141E-2</v>
          </cell>
          <cell r="E614">
            <v>5.4754505283216903E-2</v>
          </cell>
          <cell r="F614">
            <v>1.83676524051493E-8</v>
          </cell>
          <cell r="G614">
            <v>3.1255068209119398E-8</v>
          </cell>
          <cell r="H614">
            <v>4.8128354228191602E-8</v>
          </cell>
          <cell r="I614">
            <v>3.2957646971919899E-2</v>
          </cell>
        </row>
        <row r="615">
          <cell r="A615" t="str">
            <v>RHES-SHCONBR3</v>
          </cell>
          <cell r="B615" t="str">
            <v>VAR_cap</v>
          </cell>
          <cell r="C615" t="str">
            <v>-</v>
          </cell>
          <cell r="D615">
            <v>5.34290692867141E-2</v>
          </cell>
          <cell r="E615">
            <v>0.108183574569931</v>
          </cell>
          <cell r="F615">
            <v>0.10818255396307344</v>
          </cell>
          <cell r="G615">
            <v>0.10818333533234965</v>
          </cell>
          <cell r="H615">
            <v>0.10818353439364216</v>
          </cell>
          <cell r="I615">
            <v>9.1406345312149251E-2</v>
          </cell>
        </row>
        <row r="616">
          <cell r="A616" t="str">
            <v>ITOT-SWHCONBR5</v>
          </cell>
          <cell r="B616" t="str">
            <v>VAR_fout</v>
          </cell>
          <cell r="C616" t="str">
            <v>ITOT-ELS</v>
          </cell>
          <cell r="H616">
            <v>2.1219584109362285E-4</v>
          </cell>
          <cell r="I616">
            <v>1.1640511055098541E-4</v>
          </cell>
        </row>
        <row r="617">
          <cell r="A617" t="str">
            <v>ITOT-SWHCONBR5</v>
          </cell>
          <cell r="B617" t="str">
            <v>VAR_fout</v>
          </cell>
          <cell r="C617" t="str">
            <v>ITOT-SWHC</v>
          </cell>
          <cell r="H617">
            <v>1.0407943896547918E-3</v>
          </cell>
          <cell r="I617">
            <v>5.7095268863048608E-4</v>
          </cell>
        </row>
        <row r="618">
          <cell r="A618" t="str">
            <v>ITOT-SWHCONBR5</v>
          </cell>
          <cell r="B618" t="str">
            <v>VAR_fin</v>
          </cell>
          <cell r="C618" t="str">
            <v>CON</v>
          </cell>
          <cell r="H618">
            <v>1.2529902307484143E-3</v>
          </cell>
          <cell r="I618">
            <v>6.8735779918147174E-4</v>
          </cell>
        </row>
        <row r="619">
          <cell r="A619" t="str">
            <v>ITOT-SWHCONBR5</v>
          </cell>
          <cell r="B619" t="str">
            <v>VAR_ncap</v>
          </cell>
          <cell r="C619" t="str">
            <v>-</v>
          </cell>
          <cell r="H619">
            <v>1.2777017611531799E-7</v>
          </cell>
          <cell r="I619">
            <v>8.1959785164145095E-6</v>
          </cell>
        </row>
        <row r="620">
          <cell r="A620" t="str">
            <v>ITOT-SWHCONBR5</v>
          </cell>
          <cell r="B620" t="str">
            <v>VAR_cap</v>
          </cell>
          <cell r="C620" t="str">
            <v>-</v>
          </cell>
          <cell r="H620">
            <v>6.6281838422140401E-5</v>
          </cell>
          <cell r="I620">
            <v>3.6271522649247E-5</v>
          </cell>
        </row>
        <row r="621">
          <cell r="A621" t="str">
            <v>RHES-SHSTG-ELC</v>
          </cell>
          <cell r="B621" t="str">
            <v>VAR_fout</v>
          </cell>
          <cell r="C621" t="str">
            <v>RHES-SHAELCB</v>
          </cell>
          <cell r="E621">
            <v>0.7525852084572775</v>
          </cell>
          <cell r="F621">
            <v>0.18142493215985617</v>
          </cell>
          <cell r="G621">
            <v>3.5454055398347506E-2</v>
          </cell>
          <cell r="H621">
            <v>1.8577440192980312E-4</v>
          </cell>
          <cell r="I621">
            <v>8.5223105323323515E-5</v>
          </cell>
        </row>
        <row r="622">
          <cell r="A622" t="str">
            <v>RHES-SHSTG-ELC</v>
          </cell>
          <cell r="B622" t="str">
            <v>VAR_fin</v>
          </cell>
          <cell r="C622" t="str">
            <v>RHES-SHAELCB</v>
          </cell>
          <cell r="D622">
            <v>1.8938236547684341E-5</v>
          </cell>
          <cell r="E622">
            <v>0.75261341609022281</v>
          </cell>
          <cell r="F622">
            <v>0.181430239609672</v>
          </cell>
          <cell r="G622">
            <v>3.5454844643761446E-2</v>
          </cell>
          <cell r="H622">
            <v>1.878417865473643E-4</v>
          </cell>
          <cell r="I622">
            <v>8.6519343656074087E-5</v>
          </cell>
        </row>
        <row r="623">
          <cell r="A623" t="str">
            <v>RHES-SHSTG-ELC</v>
          </cell>
          <cell r="B623" t="str">
            <v>VAR_ncap</v>
          </cell>
          <cell r="C623" t="str">
            <v>-</v>
          </cell>
          <cell r="D623">
            <v>4.8478996199128703E-3</v>
          </cell>
          <cell r="E623">
            <v>5.9152793030391497E-2</v>
          </cell>
          <cell r="F623">
            <v>2.7505374997320901E-6</v>
          </cell>
          <cell r="G623">
            <v>5.0582804874615901E-6</v>
          </cell>
          <cell r="H623">
            <v>3.2849705691177799E-5</v>
          </cell>
          <cell r="I623">
            <v>6.1422007740672102E-6</v>
          </cell>
        </row>
        <row r="624">
          <cell r="A624" t="str">
            <v>RHES-SHSTG-ELC</v>
          </cell>
          <cell r="B624" t="str">
            <v>VAR_cap</v>
          </cell>
          <cell r="C624" t="str">
            <v>-</v>
          </cell>
          <cell r="D624">
            <v>4.8478996199128703E-3</v>
          </cell>
          <cell r="E624">
            <v>6.399487067754514E-2</v>
          </cell>
          <cell r="F624">
            <v>1.9241939034618502E-2</v>
          </cell>
          <cell r="G624">
            <v>4.5917554016693951E-3</v>
          </cell>
          <cell r="H624">
            <v>3.5262461940080699E-5</v>
          </cell>
          <cell r="I624">
            <v>2.1675962063201797E-5</v>
          </cell>
        </row>
        <row r="625">
          <cell r="A625" t="str">
            <v>RHES-SHCONBR4</v>
          </cell>
          <cell r="B625" t="str">
            <v>VAR_fout</v>
          </cell>
          <cell r="C625" t="str">
            <v>RHES-SHCON</v>
          </cell>
          <cell r="E625">
            <v>0.4267482303990624</v>
          </cell>
          <cell r="F625">
            <v>0.23703661154907282</v>
          </cell>
          <cell r="G625">
            <v>0.4264824913132097</v>
          </cell>
          <cell r="H625">
            <v>0.42667851258884854</v>
          </cell>
          <cell r="I625">
            <v>0.24670383020971023</v>
          </cell>
        </row>
        <row r="626">
          <cell r="A626" t="str">
            <v>RHES-SHCONBR4</v>
          </cell>
          <cell r="B626" t="str">
            <v>VAR_fin</v>
          </cell>
          <cell r="C626" t="str">
            <v>CON</v>
          </cell>
          <cell r="E626">
            <v>0.4267482303990624</v>
          </cell>
          <cell r="F626">
            <v>0.23703661154907282</v>
          </cell>
          <cell r="G626">
            <v>0.4264824913132097</v>
          </cell>
          <cell r="H626">
            <v>0.42667851258884854</v>
          </cell>
          <cell r="I626">
            <v>0.24670383020971023</v>
          </cell>
        </row>
        <row r="627">
          <cell r="A627" t="str">
            <v>RHES-SHCONBR4</v>
          </cell>
          <cell r="B627" t="str">
            <v>VAR_ncap</v>
          </cell>
          <cell r="C627" t="str">
            <v>-</v>
          </cell>
          <cell r="E627">
            <v>3.4471001519189401E-2</v>
          </cell>
          <cell r="F627">
            <v>1.37361248050913E-8</v>
          </cell>
          <cell r="G627">
            <v>1.9874092982968801E-8</v>
          </cell>
          <cell r="H627">
            <v>2.7386288404460999E-8</v>
          </cell>
          <cell r="I627">
            <v>7.9317296321057896E-8</v>
          </cell>
        </row>
        <row r="628">
          <cell r="A628" t="str">
            <v>RHES-SHCONBR4</v>
          </cell>
          <cell r="B628" t="str">
            <v>VAR_cap</v>
          </cell>
          <cell r="C628" t="str">
            <v>-</v>
          </cell>
          <cell r="E628">
            <v>3.4471001519189401E-2</v>
          </cell>
          <cell r="F628">
            <v>3.4470566970243935E-2</v>
          </cell>
          <cell r="G628">
            <v>3.4470858482152152E-2</v>
          </cell>
          <cell r="H628">
            <v>3.447095439032026E-2</v>
          </cell>
          <cell r="I628">
            <v>1.9927862633406134E-2</v>
          </cell>
        </row>
        <row r="629">
          <cell r="A629" t="str">
            <v>ITOT-SWHCONBR6</v>
          </cell>
          <cell r="B629" t="str">
            <v>VAR_fout</v>
          </cell>
          <cell r="C629" t="str">
            <v>ITOT-SWHC</v>
          </cell>
          <cell r="H629">
            <v>1.454476115046851E-4</v>
          </cell>
          <cell r="I629">
            <v>1.9801988500803107E-4</v>
          </cell>
        </row>
        <row r="630">
          <cell r="A630" t="str">
            <v>ITOT-SWHCONBR6</v>
          </cell>
          <cell r="B630" t="str">
            <v>VAR_fin</v>
          </cell>
          <cell r="C630" t="str">
            <v>CON</v>
          </cell>
          <cell r="H630">
            <v>1.454476115046851E-4</v>
          </cell>
          <cell r="I630">
            <v>1.9801988500803107E-4</v>
          </cell>
        </row>
        <row r="631">
          <cell r="A631" t="str">
            <v>ITOT-SWHCONBR6</v>
          </cell>
          <cell r="B631" t="str">
            <v>VAR_ncap</v>
          </cell>
          <cell r="C631" t="str">
            <v>-</v>
          </cell>
          <cell r="H631">
            <v>5.4758840544215797E-6</v>
          </cell>
          <cell r="I631">
            <v>5.4639743574369798E-6</v>
          </cell>
        </row>
        <row r="632">
          <cell r="A632" t="str">
            <v>ITOT-SWHCONBR6</v>
          </cell>
          <cell r="B632" t="str">
            <v>VAR_cap</v>
          </cell>
          <cell r="C632" t="str">
            <v>-</v>
          </cell>
          <cell r="H632">
            <v>5.4758840544215797E-6</v>
          </cell>
          <cell r="I632">
            <v>9.4380069885872908E-6</v>
          </cell>
        </row>
        <row r="633">
          <cell r="A633" t="str">
            <v>RHNM-SHNGAHP</v>
          </cell>
          <cell r="B633" t="str">
            <v>VAR_fout</v>
          </cell>
          <cell r="C633" t="str">
            <v>CO2_R</v>
          </cell>
          <cell r="F633">
            <v>7.9205839385130297</v>
          </cell>
          <cell r="G633">
            <v>17.772555446936298</v>
          </cell>
          <cell r="H633">
            <v>31.502646551944299</v>
          </cell>
          <cell r="I633">
            <v>35.970929294095498</v>
          </cell>
        </row>
        <row r="634">
          <cell r="A634" t="str">
            <v>RHNM-SHNGAHP</v>
          </cell>
          <cell r="B634" t="str">
            <v>VAR_fout</v>
          </cell>
          <cell r="C634" t="str">
            <v>RHNM-SHANGAH</v>
          </cell>
          <cell r="F634">
            <v>0.27127355758421356</v>
          </cell>
          <cell r="G634">
            <v>0.63036552313370398</v>
          </cell>
          <cell r="H634">
            <v>1.154889745689867</v>
          </cell>
          <cell r="I634">
            <v>1.354926313138326</v>
          </cell>
        </row>
        <row r="635">
          <cell r="A635" t="str">
            <v>RHNM-SHNGAHP</v>
          </cell>
          <cell r="B635" t="str">
            <v>VAR_fin</v>
          </cell>
          <cell r="C635" t="str">
            <v>RNGA</v>
          </cell>
          <cell r="F635">
            <v>0.14043588543462815</v>
          </cell>
          <cell r="G635">
            <v>0.31511623132865774</v>
          </cell>
          <cell r="H635">
            <v>0.5585575629777364</v>
          </cell>
          <cell r="I635">
            <v>0.63778243429247305</v>
          </cell>
        </row>
        <row r="636">
          <cell r="A636" t="str">
            <v>RHNM-SHNGAHP</v>
          </cell>
          <cell r="B636" t="str">
            <v>VAR_fin</v>
          </cell>
          <cell r="C636" t="str">
            <v>RHNMELCHPC</v>
          </cell>
          <cell r="F636">
            <v>0.27127355758421356</v>
          </cell>
          <cell r="G636">
            <v>0.63036552313370398</v>
          </cell>
          <cell r="H636">
            <v>1.154889745689867</v>
          </cell>
          <cell r="I636">
            <v>1.354926313138326</v>
          </cell>
        </row>
        <row r="637">
          <cell r="A637" t="str">
            <v>RHNM-SHNGAHP</v>
          </cell>
          <cell r="B637" t="str">
            <v>VAR_ncap</v>
          </cell>
          <cell r="C637" t="str">
            <v>-</v>
          </cell>
          <cell r="E637">
            <v>3.3722695614115003E-7</v>
          </cell>
          <cell r="F637">
            <v>2.10771689193654E-2</v>
          </cell>
          <cell r="G637">
            <v>2.7860175108275102E-2</v>
          </cell>
          <cell r="H637">
            <v>4.4924563836701202E-2</v>
          </cell>
          <cell r="I637">
            <v>6.3588814708322103E-2</v>
          </cell>
        </row>
        <row r="638">
          <cell r="A638" t="str">
            <v>RHNM-SHNGAHP</v>
          </cell>
          <cell r="B638" t="str">
            <v>VAR_cap</v>
          </cell>
          <cell r="C638" t="str">
            <v>-</v>
          </cell>
          <cell r="E638">
            <v>3.3722695614115003E-7</v>
          </cell>
          <cell r="F638">
            <v>2.1077423911020944E-2</v>
          </cell>
          <cell r="G638">
            <v>4.8937554870952284E-2</v>
          </cell>
          <cell r="H638">
            <v>8.9680559201930285E-2</v>
          </cell>
          <cell r="I638">
            <v>0.1054956966893098</v>
          </cell>
        </row>
        <row r="639">
          <cell r="A639" t="str">
            <v>D-SCOM_KEV_WOD_ELC_CHP</v>
          </cell>
          <cell r="B639" t="str">
            <v>VAR_fout</v>
          </cell>
          <cell r="C639" t="str">
            <v>ELC5</v>
          </cell>
          <cell r="G639">
            <v>2.3998398388095859E-4</v>
          </cell>
          <cell r="H639">
            <v>4.9957371300430502E-4</v>
          </cell>
          <cell r="I639">
            <v>1.1995004841991462E-4</v>
          </cell>
        </row>
        <row r="640">
          <cell r="A640" t="str">
            <v>D-SCOM_KEV_WOD_ELC_CHP</v>
          </cell>
          <cell r="B640" t="str">
            <v>VAR_fout</v>
          </cell>
          <cell r="C640" t="str">
            <v>SCOM_ELC</v>
          </cell>
          <cell r="G640">
            <v>1.0630514767251294E-4</v>
          </cell>
          <cell r="H640">
            <v>4.9988519957123469E-4</v>
          </cell>
          <cell r="I640">
            <v>1.1992294076088523E-4</v>
          </cell>
        </row>
        <row r="641">
          <cell r="A641" t="str">
            <v>D-SCOM_KEV_WOD_ELC_CHP</v>
          </cell>
          <cell r="B641" t="str">
            <v>VAR_fin</v>
          </cell>
          <cell r="C641" t="str">
            <v>SCOM_KEV_WOD_ELC_CHP</v>
          </cell>
          <cell r="G641">
            <v>3.3596991147660283E-4</v>
          </cell>
          <cell r="H641">
            <v>9.8166032061562853E-4</v>
          </cell>
          <cell r="I641">
            <v>2.2641421331273085E-4</v>
          </cell>
        </row>
        <row r="642">
          <cell r="A642" t="str">
            <v>RHES-SHCONBR5</v>
          </cell>
          <cell r="B642" t="str">
            <v>VAR_fout</v>
          </cell>
          <cell r="C642" t="str">
            <v>RHES-SHCON</v>
          </cell>
          <cell r="E642">
            <v>3.2672459899651133E-4</v>
          </cell>
          <cell r="F642">
            <v>1.9631054897592925E-4</v>
          </cell>
          <cell r="G642">
            <v>2.4311518042436804E-4</v>
          </cell>
          <cell r="H642">
            <v>2.971973582502376E-4</v>
          </cell>
          <cell r="I642">
            <v>1.8924974921773638E-4</v>
          </cell>
        </row>
        <row r="643">
          <cell r="A643" t="str">
            <v>RHES-SHCONBR5</v>
          </cell>
          <cell r="B643" t="str">
            <v>VAR_fin</v>
          </cell>
          <cell r="C643" t="str">
            <v>CON</v>
          </cell>
          <cell r="E643">
            <v>3.2672459899651133E-4</v>
          </cell>
          <cell r="F643">
            <v>1.9631054897592925E-4</v>
          </cell>
          <cell r="G643">
            <v>2.4311518042436804E-4</v>
          </cell>
          <cell r="H643">
            <v>2.971973582502376E-4</v>
          </cell>
          <cell r="I643">
            <v>1.8924974921773638E-4</v>
          </cell>
        </row>
        <row r="644">
          <cell r="A644" t="str">
            <v>RHES-SHCONBR5</v>
          </cell>
          <cell r="B644" t="str">
            <v>VAR_ncap</v>
          </cell>
          <cell r="C644" t="str">
            <v>-</v>
          </cell>
          <cell r="E644">
            <v>2.1388914941109599E-5</v>
          </cell>
          <cell r="F644">
            <v>1.2417686168264499E-8</v>
          </cell>
          <cell r="G644">
            <v>1.6748862341685301E-8</v>
          </cell>
          <cell r="H644">
            <v>2.0468207599857399E-8</v>
          </cell>
          <cell r="I644">
            <v>4.1250373284823297E-8</v>
          </cell>
        </row>
        <row r="645">
          <cell r="A645" t="str">
            <v>RHES-SHCONBR5</v>
          </cell>
          <cell r="B645" t="str">
            <v>VAR_cap</v>
          </cell>
          <cell r="C645" t="str">
            <v>-</v>
          </cell>
          <cell r="E645">
            <v>2.1388914941109599E-5</v>
          </cell>
          <cell r="F645">
            <v>2.1337530311537477E-5</v>
          </cell>
          <cell r="G645">
            <v>2.1335680758777523E-5</v>
          </cell>
          <cell r="H645">
            <v>2.1356922519540054E-5</v>
          </cell>
          <cell r="I645">
            <v>1.2454199770801905E-5</v>
          </cell>
        </row>
        <row r="646">
          <cell r="A646" t="str">
            <v>RHNS-SHCONBR</v>
          </cell>
          <cell r="B646" t="str">
            <v>VAR_fout</v>
          </cell>
          <cell r="C646" t="str">
            <v>RHNS-SHCON</v>
          </cell>
          <cell r="F646">
            <v>6.841862471191442E-4</v>
          </cell>
          <cell r="G646">
            <v>6.5807719328675148E-4</v>
          </cell>
          <cell r="H646">
            <v>2.1798041507470672E-3</v>
          </cell>
          <cell r="I646">
            <v>2.1620799521554659E-3</v>
          </cell>
        </row>
        <row r="647">
          <cell r="A647" t="str">
            <v>RHNS-SHCONBR</v>
          </cell>
          <cell r="B647" t="str">
            <v>VAR_fin</v>
          </cell>
          <cell r="C647" t="str">
            <v>CON</v>
          </cell>
          <cell r="F647">
            <v>6.841862471191442E-4</v>
          </cell>
          <cell r="G647">
            <v>6.5807719328675148E-4</v>
          </cell>
          <cell r="H647">
            <v>2.1798041507470672E-3</v>
          </cell>
          <cell r="I647">
            <v>2.1620799521554659E-3</v>
          </cell>
        </row>
        <row r="648">
          <cell r="A648" t="str">
            <v>RHNS-SHCONBR</v>
          </cell>
          <cell r="B648" t="str">
            <v>VAR_ncap</v>
          </cell>
          <cell r="C648" t="str">
            <v>-</v>
          </cell>
          <cell r="E648">
            <v>2.0716093042280101E-8</v>
          </cell>
          <cell r="F648">
            <v>4.41232360107123E-5</v>
          </cell>
          <cell r="G648">
            <v>4.8364185545157298E-8</v>
          </cell>
          <cell r="H648">
            <v>9.6172134282117096E-5</v>
          </cell>
          <cell r="I648">
            <v>1.3681088511310701E-7</v>
          </cell>
        </row>
        <row r="649">
          <cell r="A649" t="str">
            <v>RHNS-SHCONBR</v>
          </cell>
          <cell r="B649" t="str">
            <v>VAR_cap</v>
          </cell>
          <cell r="C649" t="str">
            <v>-</v>
          </cell>
          <cell r="E649">
            <v>2.0716093042280101E-8</v>
          </cell>
          <cell r="F649">
            <v>4.4131450852408427E-5</v>
          </cell>
          <cell r="G649">
            <v>4.4168712318989066E-5</v>
          </cell>
          <cell r="H649">
            <v>1.5393620831882212E-4</v>
          </cell>
          <cell r="I649">
            <v>1.5412798015590701E-4</v>
          </cell>
        </row>
        <row r="650">
          <cell r="A650" t="str">
            <v>D-RHEM_SOLELC</v>
          </cell>
          <cell r="B650" t="str">
            <v>VAR_fout</v>
          </cell>
          <cell r="C650" t="str">
            <v>ELC5</v>
          </cell>
          <cell r="D650">
            <v>0.15007891730255341</v>
          </cell>
          <cell r="E650">
            <v>0.66895752923603991</v>
          </cell>
          <cell r="F650">
            <v>0.92823058956982274</v>
          </cell>
          <cell r="G650">
            <v>1.0012517195173229</v>
          </cell>
          <cell r="H650">
            <v>0.99582899533417846</v>
          </cell>
          <cell r="I650">
            <v>1.0505093393054987</v>
          </cell>
        </row>
        <row r="651">
          <cell r="A651" t="str">
            <v>D-RHEM_SOLELC</v>
          </cell>
          <cell r="B651" t="str">
            <v>VAR_fout</v>
          </cell>
          <cell r="C651" t="str">
            <v>RHEM_ELC</v>
          </cell>
          <cell r="D651">
            <v>0.71240430848329483</v>
          </cell>
          <cell r="E651">
            <v>0.61862816522486019</v>
          </cell>
          <cell r="F651">
            <v>0.82141450349979628</v>
          </cell>
          <cell r="G651">
            <v>0.91142891049277708</v>
          </cell>
          <cell r="H651">
            <v>1.0102175693599904</v>
          </cell>
          <cell r="I651">
            <v>1.1266573139406106</v>
          </cell>
        </row>
        <row r="652">
          <cell r="A652" t="str">
            <v>D-RHEM_SOLELC</v>
          </cell>
          <cell r="B652" t="str">
            <v>VAR_fin</v>
          </cell>
          <cell r="C652" t="str">
            <v>RHEM_SOL_ELC</v>
          </cell>
          <cell r="D652">
            <v>0.86248322578584768</v>
          </cell>
          <cell r="E652">
            <v>1.2875825921991844</v>
          </cell>
          <cell r="F652">
            <v>1.7496450930696192</v>
          </cell>
          <cell r="G652">
            <v>1.9126806300101005</v>
          </cell>
          <cell r="H652">
            <v>2.0060465646941692</v>
          </cell>
          <cell r="I652">
            <v>2.1771666532461094</v>
          </cell>
        </row>
        <row r="653">
          <cell r="A653" t="str">
            <v>ITOT-SWHCONBR7</v>
          </cell>
          <cell r="B653" t="str">
            <v>VAR_fout</v>
          </cell>
          <cell r="C653" t="str">
            <v>ITOT-ELS</v>
          </cell>
          <cell r="H653">
            <v>0.40449661823303312</v>
          </cell>
          <cell r="I653">
            <v>0.40449298011951212</v>
          </cell>
        </row>
        <row r="654">
          <cell r="A654" t="str">
            <v>ITOT-SWHCONBR7</v>
          </cell>
          <cell r="B654" t="str">
            <v>VAR_fout</v>
          </cell>
          <cell r="C654" t="str">
            <v>ITOT-SWHC</v>
          </cell>
          <cell r="H654">
            <v>7.0535170177848105E-2</v>
          </cell>
          <cell r="I654">
            <v>7.0534535772157667E-2</v>
          </cell>
        </row>
        <row r="655">
          <cell r="A655" t="str">
            <v>ITOT-SWHCONBR7</v>
          </cell>
          <cell r="B655" t="str">
            <v>VAR_fin</v>
          </cell>
          <cell r="C655" t="str">
            <v>CON</v>
          </cell>
          <cell r="H655">
            <v>0.47503178841088123</v>
          </cell>
          <cell r="I655">
            <v>0.47502751589166947</v>
          </cell>
        </row>
        <row r="656">
          <cell r="A656" t="str">
            <v>ITOT-SWHCONBR7</v>
          </cell>
          <cell r="B656" t="str">
            <v>VAR_ncap</v>
          </cell>
          <cell r="C656" t="str">
            <v>-</v>
          </cell>
          <cell r="H656">
            <v>2.5837171687399602E-2</v>
          </cell>
          <cell r="I656">
            <v>7.0864508688358897E-3</v>
          </cell>
        </row>
        <row r="657">
          <cell r="A657" t="str">
            <v>ITOT-SWHCONBR7</v>
          </cell>
          <cell r="B657" t="str">
            <v>VAR_cap</v>
          </cell>
          <cell r="C657" t="str">
            <v>-</v>
          </cell>
          <cell r="H657">
            <v>2.5837171687399602E-2</v>
          </cell>
          <cell r="I657">
            <v>2.58373525245147E-2</v>
          </cell>
        </row>
        <row r="658">
          <cell r="A658" t="str">
            <v>RHNS-SHSTG-ELCHP</v>
          </cell>
          <cell r="B658" t="str">
            <v>VAR_fout</v>
          </cell>
          <cell r="C658" t="str">
            <v>RHNS-SHAELCH</v>
          </cell>
          <cell r="E658">
            <v>1.2867207244450486E-2</v>
          </cell>
          <cell r="F658">
            <v>0.15716963768262787</v>
          </cell>
          <cell r="G658">
            <v>0.29138069995787846</v>
          </cell>
          <cell r="H658">
            <v>0.46524245134180137</v>
          </cell>
          <cell r="I658">
            <v>0.43410356988258764</v>
          </cell>
        </row>
        <row r="659">
          <cell r="A659" t="str">
            <v>RHNS-SHSTG-ELCHP</v>
          </cell>
          <cell r="B659" t="str">
            <v>VAR_fin</v>
          </cell>
          <cell r="C659" t="str">
            <v>RHNS-SHAELCH</v>
          </cell>
          <cell r="E659">
            <v>1.2877815803884691E-2</v>
          </cell>
          <cell r="F659">
            <v>0.15717753927932637</v>
          </cell>
          <cell r="G659">
            <v>0.29139769688619432</v>
          </cell>
          <cell r="H659">
            <v>0.46526673152980091</v>
          </cell>
          <cell r="I659">
            <v>0.43413008157975341</v>
          </cell>
        </row>
        <row r="660">
          <cell r="A660" t="str">
            <v>RHNS-SHSTG-ELCHP</v>
          </cell>
          <cell r="B660" t="str">
            <v>VAR_ncap</v>
          </cell>
          <cell r="C660" t="str">
            <v>-</v>
          </cell>
          <cell r="D660">
            <v>1.5006222753209101E-5</v>
          </cell>
          <cell r="E660">
            <v>1.43127030804618E-3</v>
          </cell>
          <cell r="F660">
            <v>1.27720717272162E-2</v>
          </cell>
          <cell r="G660">
            <v>9.2181434241712396E-3</v>
          </cell>
          <cell r="H660">
            <v>1.9562716281119E-2</v>
          </cell>
          <cell r="I660">
            <v>2.5962664629326501E-2</v>
          </cell>
        </row>
        <row r="661">
          <cell r="A661" t="str">
            <v>RHNS-SHSTG-ELCHP</v>
          </cell>
          <cell r="B661" t="str">
            <v>VAR_cap</v>
          </cell>
          <cell r="C661" t="str">
            <v>-</v>
          </cell>
          <cell r="D661">
            <v>1.5006222753209101E-5</v>
          </cell>
          <cell r="E661">
            <v>1.441289449944294E-3</v>
          </cell>
          <cell r="F661">
            <v>1.4207793213096568E-2</v>
          </cell>
          <cell r="G661">
            <v>2.3423077038998024E-2</v>
          </cell>
          <cell r="H661">
            <v>3.5511591937420553E-2</v>
          </cell>
          <cell r="I661">
            <v>4.3279798016999528E-2</v>
          </cell>
        </row>
        <row r="662">
          <cell r="A662" t="str">
            <v>RHNS-SHSOLBR</v>
          </cell>
          <cell r="B662" t="str">
            <v>VAR_fout</v>
          </cell>
          <cell r="C662" t="str">
            <v>RHNS-SHASOL</v>
          </cell>
          <cell r="E662">
            <v>1.3408220187178145E-2</v>
          </cell>
          <cell r="F662">
            <v>8.6458952988377344E-5</v>
          </cell>
          <cell r="G662">
            <v>6.5159877275274382E-4</v>
          </cell>
          <cell r="H662">
            <v>6.9413643443972523E-4</v>
          </cell>
          <cell r="I662">
            <v>1.2087996901421825E-3</v>
          </cell>
        </row>
        <row r="663">
          <cell r="A663" t="str">
            <v>RHNS-SHSOLBR</v>
          </cell>
          <cell r="B663" t="str">
            <v>VAR_fin</v>
          </cell>
          <cell r="C663" t="str">
            <v>SOL</v>
          </cell>
          <cell r="E663">
            <v>1.3408220187178145E-2</v>
          </cell>
          <cell r="F663">
            <v>8.6458952988377344E-5</v>
          </cell>
          <cell r="G663">
            <v>6.5159877275274382E-4</v>
          </cell>
          <cell r="H663">
            <v>6.9413643443972523E-4</v>
          </cell>
          <cell r="I663">
            <v>1.2087996901421825E-3</v>
          </cell>
        </row>
        <row r="664">
          <cell r="A664" t="str">
            <v>RHNS-SHSOLBR</v>
          </cell>
          <cell r="B664" t="str">
            <v>VAR_ncap</v>
          </cell>
          <cell r="C664" t="str">
            <v>-</v>
          </cell>
          <cell r="E664">
            <v>2.21218062264414E-3</v>
          </cell>
          <cell r="F664">
            <v>9.3967293477096605E-7</v>
          </cell>
          <cell r="G664">
            <v>1.9924771812554699E-6</v>
          </cell>
          <cell r="H664">
            <v>8.0829001964532901E-5</v>
          </cell>
          <cell r="I664">
            <v>1.19701273424543E-4</v>
          </cell>
        </row>
        <row r="665">
          <cell r="A665" t="str">
            <v>RHNS-SHSOLBR</v>
          </cell>
          <cell r="B665" t="str">
            <v>VAR_cap</v>
          </cell>
          <cell r="C665" t="str">
            <v>-</v>
          </cell>
          <cell r="E665">
            <v>2.21218062264414E-3</v>
          </cell>
          <cell r="F665">
            <v>5.7303052819062013E-4</v>
          </cell>
          <cell r="G665">
            <v>5.7330546764066E-4</v>
          </cell>
          <cell r="H665">
            <v>1.3945128842427247E-4</v>
          </cell>
          <cell r="I665">
            <v>2.0249531619121621E-4</v>
          </cell>
        </row>
        <row r="666">
          <cell r="A666" t="str">
            <v>RHES-SHPLTBR</v>
          </cell>
          <cell r="B666" t="str">
            <v>VAR_fout</v>
          </cell>
          <cell r="C666" t="str">
            <v>RHES-SHPLT</v>
          </cell>
          <cell r="D666">
            <v>1.2957672294415599</v>
          </cell>
          <cell r="E666">
            <v>1.4868869424067153</v>
          </cell>
          <cell r="F666">
            <v>6.8287003632692619E-2</v>
          </cell>
          <cell r="G666">
            <v>8.4146514404746922E-2</v>
          </cell>
          <cell r="H666">
            <v>9.2956699247244631E-2</v>
          </cell>
          <cell r="I666">
            <v>7.9073001398376877E-2</v>
          </cell>
        </row>
        <row r="667">
          <cell r="A667" t="str">
            <v>RHES-SHPLTBR</v>
          </cell>
          <cell r="B667" t="str">
            <v>VAR_fin</v>
          </cell>
          <cell r="C667" t="str">
            <v>RPLT</v>
          </cell>
          <cell r="D667">
            <v>1.4397413660461766</v>
          </cell>
          <cell r="E667">
            <v>1.6520966026741277</v>
          </cell>
          <cell r="F667">
            <v>9.2993649252061744E-2</v>
          </cell>
          <cell r="G667">
            <v>0.11381603969633912</v>
          </cell>
          <cell r="H667">
            <v>0.12461087756567417</v>
          </cell>
          <cell r="I667">
            <v>0.10435977138742625</v>
          </cell>
        </row>
        <row r="668">
          <cell r="A668" t="str">
            <v>RHES-SHPLTBR</v>
          </cell>
          <cell r="B668" t="str">
            <v>VAR_ncap</v>
          </cell>
          <cell r="C668" t="str">
            <v>-</v>
          </cell>
          <cell r="E668">
            <v>1.54435028907512E-2</v>
          </cell>
          <cell r="F668">
            <v>2.65186164581833E-8</v>
          </cell>
          <cell r="G668">
            <v>1.0783654017893901E-7</v>
          </cell>
          <cell r="H668">
            <v>6.57916288629964E-3</v>
          </cell>
          <cell r="I668">
            <v>1.2222138526295199E-3</v>
          </cell>
        </row>
        <row r="669">
          <cell r="A669" t="str">
            <v>RHES-SHPLTBR</v>
          </cell>
          <cell r="B669" t="str">
            <v>VAR_cap</v>
          </cell>
          <cell r="C669" t="str">
            <v>-</v>
          </cell>
          <cell r="D669">
            <v>0.104681131456585</v>
          </cell>
          <cell r="E669">
            <v>0.12012461753807835</v>
          </cell>
          <cell r="F669">
            <v>1.2228710632643608E-2</v>
          </cell>
          <cell r="G669">
            <v>1.22289028186848E-2</v>
          </cell>
          <cell r="H669">
            <v>7.5173686219107243E-3</v>
          </cell>
          <cell r="I669">
            <v>6.3937530615980056E-3</v>
          </cell>
        </row>
        <row r="670">
          <cell r="A670" t="str">
            <v>RHES-SHCONBR6</v>
          </cell>
          <cell r="B670" t="str">
            <v>VAR_fout</v>
          </cell>
          <cell r="C670" t="str">
            <v>RHES-SHCON</v>
          </cell>
          <cell r="E670">
            <v>8.3570434194629376E-5</v>
          </cell>
          <cell r="F670">
            <v>7.4424921457297649E-5</v>
          </cell>
          <cell r="G670">
            <v>5.9310078604038005E-5</v>
          </cell>
          <cell r="H670">
            <v>6.8863300409171031E-5</v>
          </cell>
          <cell r="I670">
            <v>4.871851233931054E-5</v>
          </cell>
        </row>
        <row r="671">
          <cell r="A671" t="str">
            <v>RHES-SHCONBR6</v>
          </cell>
          <cell r="B671" t="str">
            <v>VAR_fin</v>
          </cell>
          <cell r="C671" t="str">
            <v>CON</v>
          </cell>
          <cell r="E671">
            <v>8.3570434194629376E-5</v>
          </cell>
          <cell r="F671">
            <v>7.4424921457297649E-5</v>
          </cell>
          <cell r="G671">
            <v>5.9310078604038005E-5</v>
          </cell>
          <cell r="H671">
            <v>6.8863300409171031E-5</v>
          </cell>
          <cell r="I671">
            <v>4.871851233931054E-5</v>
          </cell>
        </row>
        <row r="672">
          <cell r="A672" t="str">
            <v>RHES-SHCONBR6</v>
          </cell>
          <cell r="B672" t="str">
            <v>VAR_ncap</v>
          </cell>
          <cell r="C672" t="str">
            <v>-</v>
          </cell>
          <cell r="E672">
            <v>1.74441610871209E-6</v>
          </cell>
          <cell r="F672">
            <v>1.41962740366599E-8</v>
          </cell>
          <cell r="G672">
            <v>1.9203289231544602E-8</v>
          </cell>
          <cell r="H672">
            <v>1.77958660297734E-8</v>
          </cell>
          <cell r="I672">
            <v>2.9034843020805701E-8</v>
          </cell>
        </row>
        <row r="673">
          <cell r="A673" t="str">
            <v>RHES-SHCONBR6</v>
          </cell>
          <cell r="B673" t="str">
            <v>VAR_cap</v>
          </cell>
          <cell r="C673" t="str">
            <v>-</v>
          </cell>
          <cell r="E673">
            <v>1.74441610871209E-6</v>
          </cell>
          <cell r="F673">
            <v>1.7303312526797694E-6</v>
          </cell>
          <cell r="G673">
            <v>1.7400132529619273E-6</v>
          </cell>
          <cell r="H673">
            <v>1.7501513552667097E-6</v>
          </cell>
          <cell r="I673">
            <v>1.0951277636948547E-6</v>
          </cell>
        </row>
        <row r="674">
          <cell r="A674" t="str">
            <v>RHSA-WHPLTBR</v>
          </cell>
          <cell r="B674" t="str">
            <v>VAR_fout</v>
          </cell>
          <cell r="C674" t="str">
            <v>RHSA-WHPLT</v>
          </cell>
          <cell r="D674">
            <v>0.16980324557740953</v>
          </cell>
          <cell r="E674">
            <v>0.19483918621385793</v>
          </cell>
          <cell r="F674">
            <v>0.11052853369184722</v>
          </cell>
          <cell r="G674">
            <v>0.15708974506424572</v>
          </cell>
          <cell r="H674">
            <v>0.20527572890837972</v>
          </cell>
          <cell r="I674">
            <v>0.2026129965777875</v>
          </cell>
        </row>
        <row r="675">
          <cell r="A675" t="str">
            <v>RHSA-WHPLTBR</v>
          </cell>
          <cell r="B675" t="str">
            <v>VAR_fin</v>
          </cell>
          <cell r="C675" t="str">
            <v>RPLT</v>
          </cell>
          <cell r="D675">
            <v>0.27168519292385512</v>
          </cell>
          <cell r="E675">
            <v>0.31174269794217269</v>
          </cell>
          <cell r="F675">
            <v>0.24232281902258246</v>
          </cell>
          <cell r="G675">
            <v>0.3371700834037108</v>
          </cell>
          <cell r="H675">
            <v>0.42674027770928935</v>
          </cell>
          <cell r="I675">
            <v>0.40789598896379231</v>
          </cell>
        </row>
        <row r="676">
          <cell r="A676" t="str">
            <v>RHSA-WHPLTBR</v>
          </cell>
          <cell r="B676" t="str">
            <v>VAR_ncap</v>
          </cell>
          <cell r="C676" t="str">
            <v>-</v>
          </cell>
          <cell r="E676">
            <v>1.95126629030817E-3</v>
          </cell>
          <cell r="F676">
            <v>5.8087304019071602E-8</v>
          </cell>
          <cell r="G676">
            <v>4.5048853153335401E-7</v>
          </cell>
          <cell r="H676">
            <v>5.6194681740576197E-3</v>
          </cell>
          <cell r="I676">
            <v>6.21013663694481E-3</v>
          </cell>
        </row>
        <row r="677">
          <cell r="A677" t="str">
            <v>RHSA-WHPLTBR</v>
          </cell>
          <cell r="B677" t="str">
            <v>VAR_cap</v>
          </cell>
          <cell r="C677" t="str">
            <v>-</v>
          </cell>
          <cell r="D677">
            <v>1.12410901121583E-2</v>
          </cell>
          <cell r="E677">
            <v>1.3192325225867059E-2</v>
          </cell>
          <cell r="F677">
            <v>1.3190493434088763E-2</v>
          </cell>
          <cell r="G677">
            <v>1.3190551972414826E-2</v>
          </cell>
          <cell r="H677">
            <v>1.4043314438212271E-2</v>
          </cell>
          <cell r="I677">
            <v>1.3851467514672349E-2</v>
          </cell>
        </row>
        <row r="678">
          <cell r="A678" t="str">
            <v>ITOT-SWHCONBR8</v>
          </cell>
          <cell r="B678" t="str">
            <v>VAR_fout</v>
          </cell>
          <cell r="C678" t="str">
            <v>ITOT-ELS</v>
          </cell>
          <cell r="I678">
            <v>4.4607686798870286E-5</v>
          </cell>
        </row>
        <row r="679">
          <cell r="A679" t="str">
            <v>ITOT-SWHCONBR8</v>
          </cell>
          <cell r="B679" t="str">
            <v>VAR_fout</v>
          </cell>
          <cell r="C679" t="str">
            <v>ITOT-SWHC</v>
          </cell>
          <cell r="I679">
            <v>1.7223120360919804E-4</v>
          </cell>
        </row>
        <row r="680">
          <cell r="A680" t="str">
            <v>ITOT-SWHCONBR8</v>
          </cell>
          <cell r="B680" t="str">
            <v>VAR_fin</v>
          </cell>
          <cell r="C680" t="str">
            <v>CON</v>
          </cell>
          <cell r="I680">
            <v>2.1683889040806839E-4</v>
          </cell>
        </row>
        <row r="681">
          <cell r="A681" t="str">
            <v>ITOT-SWHCONBR8</v>
          </cell>
          <cell r="B681" t="str">
            <v>VAR_ncap</v>
          </cell>
          <cell r="C681" t="str">
            <v>-</v>
          </cell>
          <cell r="I681">
            <v>1.0324194573247799E-5</v>
          </cell>
        </row>
        <row r="682">
          <cell r="A682" t="str">
            <v>ITOT-SWHCONBR8</v>
          </cell>
          <cell r="B682" t="str">
            <v>VAR_cap</v>
          </cell>
          <cell r="C682" t="str">
            <v>-</v>
          </cell>
          <cell r="I682">
            <v>1.0324194573247799E-5</v>
          </cell>
        </row>
        <row r="683">
          <cell r="A683" t="str">
            <v>D-SCOM_KEV_HFC_ELC_CHP</v>
          </cell>
          <cell r="B683" t="str">
            <v>VAR_fout</v>
          </cell>
          <cell r="C683" t="str">
            <v>ELC5</v>
          </cell>
          <cell r="G683">
            <v>2.5890614965575463E-4</v>
          </cell>
          <cell r="H683">
            <v>1.3329845703134417E-2</v>
          </cell>
          <cell r="I683">
            <v>8.7067405184769291E-3</v>
          </cell>
        </row>
        <row r="684">
          <cell r="A684" t="str">
            <v>D-SCOM_KEV_HFC_ELC_CHP</v>
          </cell>
          <cell r="B684" t="str">
            <v>VAR_fout</v>
          </cell>
          <cell r="C684" t="str">
            <v>SCOM_ELC</v>
          </cell>
          <cell r="G684">
            <v>2.5917082716709656E-4</v>
          </cell>
          <cell r="H684">
            <v>1.3341478901459028E-2</v>
          </cell>
          <cell r="I684">
            <v>8.7033145186678901E-3</v>
          </cell>
        </row>
        <row r="685">
          <cell r="A685" t="str">
            <v>D-SCOM_KEV_HFC_ELC_CHP</v>
          </cell>
          <cell r="B685" t="str">
            <v>VAR_fin</v>
          </cell>
          <cell r="C685" t="str">
            <v>SCOM_KEV_HFC_ELC_CHP</v>
          </cell>
          <cell r="G685">
            <v>5.0497043352455771E-4</v>
          </cell>
          <cell r="H685">
            <v>2.6663102262093213E-2</v>
          </cell>
          <cell r="I685">
            <v>1.7396335926737675E-2</v>
          </cell>
        </row>
        <row r="686">
          <cell r="A686" t="str">
            <v>D-EH2R</v>
          </cell>
          <cell r="B686" t="str">
            <v>VAR_fout</v>
          </cell>
          <cell r="C686" t="str">
            <v>EH2</v>
          </cell>
          <cell r="H686">
            <v>3.6380618798152763E-3</v>
          </cell>
          <cell r="I686">
            <v>3.919683795071743E-3</v>
          </cell>
        </row>
        <row r="687">
          <cell r="A687" t="str">
            <v>D-EH2R</v>
          </cell>
          <cell r="B687" t="str">
            <v>VAR_fin</v>
          </cell>
          <cell r="C687" t="str">
            <v>H2</v>
          </cell>
          <cell r="H687">
            <v>3.6380618798152763E-3</v>
          </cell>
          <cell r="I687">
            <v>3.919683795071743E-3</v>
          </cell>
        </row>
        <row r="688">
          <cell r="A688" t="str">
            <v>D-EH2R</v>
          </cell>
          <cell r="B688" t="str">
            <v>VAR_ncap</v>
          </cell>
          <cell r="C688" t="str">
            <v>-</v>
          </cell>
          <cell r="G688">
            <v>2.1851572430411699E-7</v>
          </cell>
          <cell r="H688">
            <v>3.0283660400490302E-4</v>
          </cell>
          <cell r="I688">
            <v>1.43630622909847E-4</v>
          </cell>
        </row>
        <row r="689">
          <cell r="A689" t="str">
            <v>D-EH2R</v>
          </cell>
          <cell r="B689" t="str">
            <v>VAR_cap</v>
          </cell>
          <cell r="C689" t="str">
            <v>-</v>
          </cell>
          <cell r="G689">
            <v>2.1851572430411699E-7</v>
          </cell>
          <cell r="H689">
            <v>3.0294096216083502E-4</v>
          </cell>
          <cell r="I689">
            <v>2.47358594073429E-4</v>
          </cell>
        </row>
        <row r="690">
          <cell r="A690" t="str">
            <v>SCOM-ELCSPECADV</v>
          </cell>
          <cell r="B690" t="str">
            <v>VAR_fout</v>
          </cell>
          <cell r="C690" t="str">
            <v>SCOM-ELS</v>
          </cell>
          <cell r="G690">
            <v>6.8268617248229502</v>
          </cell>
          <cell r="H690">
            <v>10.96682318287465</v>
          </cell>
          <cell r="I690">
            <v>13.028211671165511</v>
          </cell>
        </row>
        <row r="691">
          <cell r="A691" t="str">
            <v>SCOM-ELCSPECADV</v>
          </cell>
          <cell r="B691" t="str">
            <v>VAR_fin</v>
          </cell>
          <cell r="C691" t="str">
            <v>SCOM_ELC</v>
          </cell>
          <cell r="G691">
            <v>4.5512411498819647</v>
          </cell>
          <cell r="H691">
            <v>7.3112154552497675</v>
          </cell>
          <cell r="I691">
            <v>8.6854744474436796</v>
          </cell>
        </row>
        <row r="692">
          <cell r="A692" t="str">
            <v>SCOM-ELCSPECADV</v>
          </cell>
          <cell r="B692" t="str">
            <v>VAR_ncap</v>
          </cell>
          <cell r="C692" t="str">
            <v>-</v>
          </cell>
          <cell r="F692">
            <v>1.17244589273643E-7</v>
          </cell>
          <cell r="G692">
            <v>0.72159419275747605</v>
          </cell>
          <cell r="H692">
            <v>0.208196035164565</v>
          </cell>
          <cell r="I692">
            <v>0.46840410749907802</v>
          </cell>
        </row>
        <row r="693">
          <cell r="A693" t="str">
            <v>SCOM-ELCSPECADV</v>
          </cell>
          <cell r="B693" t="str">
            <v>VAR_cap</v>
          </cell>
          <cell r="C693" t="str">
            <v>-</v>
          </cell>
          <cell r="F693">
            <v>1.17244589273643E-7</v>
          </cell>
          <cell r="G693">
            <v>0.72159427914084762</v>
          </cell>
          <cell r="H693">
            <v>1.1591854605609246</v>
          </cell>
          <cell r="I693">
            <v>1.3770726216102027</v>
          </cell>
        </row>
        <row r="694">
          <cell r="A694" t="str">
            <v>RHSA-WHLTHRD</v>
          </cell>
          <cell r="B694" t="str">
            <v>VAR_fout</v>
          </cell>
          <cell r="C694" t="str">
            <v>RHSA-WHLTHRD</v>
          </cell>
          <cell r="D694">
            <v>1.317056012181713</v>
          </cell>
          <cell r="E694">
            <v>1.4633775056135598</v>
          </cell>
          <cell r="F694">
            <v>0.95383904196382063</v>
          </cell>
          <cell r="G694">
            <v>1.3089737337761731</v>
          </cell>
          <cell r="H694">
            <v>1.6375873685049336</v>
          </cell>
          <cell r="I694">
            <v>1.723280617913004</v>
          </cell>
        </row>
        <row r="695">
          <cell r="A695" t="str">
            <v>RHSA-WHLTHRD</v>
          </cell>
          <cell r="B695" t="str">
            <v>VAR_fin</v>
          </cell>
          <cell r="C695" t="str">
            <v>RHSA_LTH</v>
          </cell>
          <cell r="D695">
            <v>1.7104623534827463</v>
          </cell>
          <cell r="E695">
            <v>1.8955667171160082</v>
          </cell>
          <cell r="F695">
            <v>1.7611192018768314</v>
          </cell>
          <cell r="G695">
            <v>2.3496510617305466</v>
          </cell>
          <cell r="H695">
            <v>2.8570070439571436</v>
          </cell>
          <cell r="I695">
            <v>2.9365730037167173</v>
          </cell>
        </row>
        <row r="696">
          <cell r="A696" t="str">
            <v>RHSA-WHLTHRD</v>
          </cell>
          <cell r="B696" t="str">
            <v>VAR_ncap</v>
          </cell>
          <cell r="C696" t="str">
            <v>-</v>
          </cell>
          <cell r="E696">
            <v>1.8262253747187498E-2</v>
          </cell>
          <cell r="F696">
            <v>1.3660250743422E-2</v>
          </cell>
          <cell r="G696">
            <v>3.1652055647324998E-2</v>
          </cell>
          <cell r="H696">
            <v>2.51808240657596E-2</v>
          </cell>
          <cell r="I696">
            <v>3.1402662011932397E-2</v>
          </cell>
        </row>
        <row r="697">
          <cell r="A697" t="str">
            <v>RHSA-WHLTHRD</v>
          </cell>
          <cell r="B697" t="str">
            <v>VAR_cap</v>
          </cell>
          <cell r="C697" t="str">
            <v>-</v>
          </cell>
          <cell r="D697">
            <v>0.13737412127568699</v>
          </cell>
          <cell r="E697">
            <v>0.12669504031939297</v>
          </cell>
          <cell r="F697">
            <v>9.6504862034022601E-2</v>
          </cell>
          <cell r="G697">
            <v>0.11874833553740519</v>
          </cell>
          <cell r="H697">
            <v>0.16052678739097803</v>
          </cell>
          <cell r="I697">
            <v>0.170272703127793</v>
          </cell>
        </row>
        <row r="698">
          <cell r="A698" t="str">
            <v>RHES-SHCONBR7</v>
          </cell>
          <cell r="B698" t="str">
            <v>VAR_fout</v>
          </cell>
          <cell r="C698" t="str">
            <v>RHES-SHCON</v>
          </cell>
          <cell r="E698">
            <v>7.963470834442114E-5</v>
          </cell>
          <cell r="F698">
            <v>7.2392360679055464E-5</v>
          </cell>
          <cell r="G698">
            <v>5.6592060564353177E-5</v>
          </cell>
          <cell r="H698">
            <v>6.5167381173478789E-5</v>
          </cell>
          <cell r="I698">
            <v>4.6460624501216188E-5</v>
          </cell>
        </row>
        <row r="699">
          <cell r="A699" t="str">
            <v>RHES-SHCONBR7</v>
          </cell>
          <cell r="B699" t="str">
            <v>VAR_fin</v>
          </cell>
          <cell r="C699" t="str">
            <v>CON</v>
          </cell>
          <cell r="E699">
            <v>7.963470834442114E-5</v>
          </cell>
          <cell r="F699">
            <v>7.2392360679055464E-5</v>
          </cell>
          <cell r="G699">
            <v>5.6592060564353177E-5</v>
          </cell>
          <cell r="H699">
            <v>6.5167381173478789E-5</v>
          </cell>
          <cell r="I699">
            <v>4.6460624501216188E-5</v>
          </cell>
        </row>
        <row r="700">
          <cell r="A700" t="str">
            <v>RHES-SHCONBR7</v>
          </cell>
          <cell r="B700" t="str">
            <v>VAR_ncap</v>
          </cell>
          <cell r="C700" t="str">
            <v>-</v>
          </cell>
          <cell r="E700">
            <v>1.4264246340292E-6</v>
          </cell>
          <cell r="F700">
            <v>1.43177179166255E-8</v>
          </cell>
          <cell r="G700">
            <v>1.9418836910427398E-8</v>
          </cell>
          <cell r="H700">
            <v>1.7648212008695801E-8</v>
          </cell>
          <cell r="I700">
            <v>2.9861957324038101E-8</v>
          </cell>
        </row>
        <row r="701">
          <cell r="A701" t="str">
            <v>RHES-SHCONBR7</v>
          </cell>
          <cell r="B701" t="str">
            <v>VAR_cap</v>
          </cell>
          <cell r="C701" t="str">
            <v>-</v>
          </cell>
          <cell r="E701">
            <v>1.4264246340292E-6</v>
          </cell>
          <cell r="F701">
            <v>1.4131760217739325E-6</v>
          </cell>
          <cell r="G701">
            <v>1.4236072452031576E-6</v>
          </cell>
          <cell r="H701">
            <v>1.4338738565341872E-6</v>
          </cell>
          <cell r="I701">
            <v>9.1231207575876333E-7</v>
          </cell>
        </row>
        <row r="702">
          <cell r="A702" t="str">
            <v>ITOT-SWHCONBR9</v>
          </cell>
          <cell r="B702" t="str">
            <v>VAR_fout</v>
          </cell>
          <cell r="C702" t="str">
            <v>ITOT-ELS</v>
          </cell>
          <cell r="I702">
            <v>7.1677267828310867E-6</v>
          </cell>
        </row>
        <row r="703">
          <cell r="A703" t="str">
            <v>ITOT-SWHCONBR9</v>
          </cell>
          <cell r="B703" t="str">
            <v>VAR_fout</v>
          </cell>
          <cell r="C703" t="str">
            <v>ITOT-SWHC</v>
          </cell>
          <cell r="I703">
            <v>4.1761125833182438E-5</v>
          </cell>
        </row>
        <row r="704">
          <cell r="A704" t="str">
            <v>ITOT-SWHCONBR9</v>
          </cell>
          <cell r="B704" t="str">
            <v>VAR_fin</v>
          </cell>
          <cell r="C704" t="str">
            <v>CON</v>
          </cell>
          <cell r="I704">
            <v>4.8956365104599105E-5</v>
          </cell>
        </row>
        <row r="705">
          <cell r="A705" t="str">
            <v>ITOT-SWHCONBR9</v>
          </cell>
          <cell r="B705" t="str">
            <v>VAR_ncap</v>
          </cell>
          <cell r="C705" t="str">
            <v>-</v>
          </cell>
          <cell r="I705">
            <v>1.18907962505197E-6</v>
          </cell>
        </row>
        <row r="706">
          <cell r="A706" t="str">
            <v>ITOT-SWHCONBR9</v>
          </cell>
          <cell r="B706" t="str">
            <v>VAR_cap</v>
          </cell>
          <cell r="C706" t="str">
            <v>-</v>
          </cell>
          <cell r="I706">
            <v>1.18907962505197E-6</v>
          </cell>
        </row>
        <row r="707">
          <cell r="A707" t="str">
            <v>SCOM-SHPLTBR</v>
          </cell>
          <cell r="B707" t="str">
            <v>VAR_fout</v>
          </cell>
          <cell r="C707" t="str">
            <v>SCOM-SHPLT</v>
          </cell>
          <cell r="D707">
            <v>1.8770746508097225</v>
          </cell>
          <cell r="E707">
            <v>2.1600853174743446</v>
          </cell>
          <cell r="F707">
            <v>0.66060284054977481</v>
          </cell>
          <cell r="G707">
            <v>0.82372186696448746</v>
          </cell>
          <cell r="H707">
            <v>0.98996931582995118</v>
          </cell>
          <cell r="I707">
            <v>0.83171134768675448</v>
          </cell>
        </row>
        <row r="708">
          <cell r="A708" t="str">
            <v>SCOM-SHPLTBR</v>
          </cell>
          <cell r="B708" t="str">
            <v>VAR_fin</v>
          </cell>
          <cell r="C708" t="str">
            <v>SCOMPLTBRC</v>
          </cell>
          <cell r="D708">
            <v>1.8770746508097225</v>
          </cell>
          <cell r="E708">
            <v>2.1600853174743446</v>
          </cell>
          <cell r="F708">
            <v>0.66060284054977481</v>
          </cell>
          <cell r="G708">
            <v>0.82372186696448746</v>
          </cell>
          <cell r="H708">
            <v>0.98996931582995118</v>
          </cell>
          <cell r="I708">
            <v>0.83171134768675448</v>
          </cell>
        </row>
        <row r="709">
          <cell r="A709" t="str">
            <v>SCOM-SHPLTBR</v>
          </cell>
          <cell r="B709" t="str">
            <v>VAR_fin</v>
          </cell>
          <cell r="C709" t="str">
            <v>SPLT</v>
          </cell>
          <cell r="D709">
            <v>2.0856385008996914</v>
          </cell>
          <cell r="E709">
            <v>2.4000947971937161</v>
          </cell>
          <cell r="F709">
            <v>0.99273747386311573</v>
          </cell>
          <cell r="G709">
            <v>1.2286335989559629</v>
          </cell>
          <cell r="H709">
            <v>1.4702029585535055</v>
          </cell>
          <cell r="I709">
            <v>1.2351741255803015</v>
          </cell>
        </row>
        <row r="710">
          <cell r="A710" t="str">
            <v>SCOM-SHPLTBR</v>
          </cell>
          <cell r="B710" t="str">
            <v>VAR_ncap</v>
          </cell>
          <cell r="C710" t="str">
            <v>-</v>
          </cell>
          <cell r="D710">
            <v>5.1560463727958003E-7</v>
          </cell>
          <cell r="E710">
            <v>2.4297448383574401E-2</v>
          </cell>
          <cell r="F710">
            <v>1.18001715087177E-7</v>
          </cell>
          <cell r="G710">
            <v>7.5072506225083698E-7</v>
          </cell>
          <cell r="H710">
            <v>3.8204929791456101E-2</v>
          </cell>
          <cell r="I710">
            <v>2.3308524274992099E-2</v>
          </cell>
        </row>
        <row r="711">
          <cell r="A711" t="str">
            <v>SCOM-SHPLTBR</v>
          </cell>
          <cell r="B711" t="str">
            <v>VAR_cap</v>
          </cell>
          <cell r="C711" t="str">
            <v>-</v>
          </cell>
          <cell r="D711">
            <v>0.1505113837288313</v>
          </cell>
          <cell r="E711">
            <v>0.17480877200880954</v>
          </cell>
          <cell r="F711">
            <v>9.6366470902724599E-2</v>
          </cell>
          <cell r="G711">
            <v>9.6364866573889818E-2</v>
          </cell>
          <cell r="H711">
            <v>7.8197470175684056E-2</v>
          </cell>
          <cell r="I711">
            <v>6.7951458550145671E-2</v>
          </cell>
        </row>
        <row r="712">
          <cell r="A712" t="str">
            <v>ITOT-SWHELCHP</v>
          </cell>
          <cell r="B712" t="str">
            <v>VAR_fout</v>
          </cell>
          <cell r="C712" t="str">
            <v>ITOT-SWHAELCH</v>
          </cell>
          <cell r="D712">
            <v>1.1081830189955955</v>
          </cell>
          <cell r="E712">
            <v>1.4008080076983809</v>
          </cell>
          <cell r="F712">
            <v>1.6846084025909003</v>
          </cell>
          <cell r="G712">
            <v>5.8086932031384713</v>
          </cell>
          <cell r="H712">
            <v>5.808696507829417</v>
          </cell>
          <cell r="I712">
            <v>5.8087040184351517</v>
          </cell>
        </row>
        <row r="713">
          <cell r="A713" t="str">
            <v>ITOT-SWHELCHP</v>
          </cell>
          <cell r="B713" t="str">
            <v>VAR_fin</v>
          </cell>
          <cell r="C713" t="str">
            <v>ITOT_ELC</v>
          </cell>
          <cell r="D713">
            <v>0.35968521491294514</v>
          </cell>
          <cell r="E713">
            <v>0.45106781608317281</v>
          </cell>
          <cell r="F713">
            <v>0.53609427568149859</v>
          </cell>
          <cell r="G713">
            <v>1.813082481703459</v>
          </cell>
          <cell r="H713">
            <v>1.746160747831339</v>
          </cell>
          <cell r="I713">
            <v>1.6840046721679172</v>
          </cell>
        </row>
        <row r="714">
          <cell r="A714" t="str">
            <v>ITOT-SWHELCHP</v>
          </cell>
          <cell r="B714" t="str">
            <v>VAR_fin</v>
          </cell>
          <cell r="C714" t="str">
            <v>ITOTELCHPC</v>
          </cell>
          <cell r="D714">
            <v>1.1081830189955955</v>
          </cell>
          <cell r="E714">
            <v>1.4008080076983809</v>
          </cell>
          <cell r="F714">
            <v>1.6846084025909003</v>
          </cell>
          <cell r="G714">
            <v>5.8086932031384713</v>
          </cell>
          <cell r="H714">
            <v>5.808696507829417</v>
          </cell>
          <cell r="I714">
            <v>5.8087040184351517</v>
          </cell>
        </row>
        <row r="715">
          <cell r="A715" t="str">
            <v>ITOT-SWHELCHP</v>
          </cell>
          <cell r="B715" t="str">
            <v>VAR_ncap</v>
          </cell>
          <cell r="C715" t="str">
            <v>-</v>
          </cell>
          <cell r="E715">
            <v>1.5992459155628799E-2</v>
          </cell>
          <cell r="F715">
            <v>1.5404273785744599E-2</v>
          </cell>
          <cell r="G715">
            <v>0.22427050667329201</v>
          </cell>
          <cell r="H715">
            <v>0.11156157577077799</v>
          </cell>
          <cell r="I715">
            <v>0.21807242695662299</v>
          </cell>
        </row>
        <row r="716">
          <cell r="A716" t="str">
            <v>ITOT-SWHELCHP</v>
          </cell>
          <cell r="B716" t="str">
            <v>VAR_cap</v>
          </cell>
          <cell r="C716" t="str">
            <v>-</v>
          </cell>
          <cell r="D716">
            <v>6.02631234918991E-2</v>
          </cell>
          <cell r="E716">
            <v>7.6255356092145482E-2</v>
          </cell>
          <cell r="F716">
            <v>9.1659340222110849E-2</v>
          </cell>
          <cell r="G716">
            <v>0.3159297445002881</v>
          </cell>
          <cell r="H716">
            <v>0.31995119974283459</v>
          </cell>
          <cell r="I716">
            <v>0.32123824276706675</v>
          </cell>
        </row>
        <row r="717">
          <cell r="A717" t="str">
            <v>RHES-SHCONBR8</v>
          </cell>
          <cell r="B717" t="str">
            <v>VAR_fout</v>
          </cell>
          <cell r="C717" t="str">
            <v>RHES-SHCON</v>
          </cell>
          <cell r="E717">
            <v>6.2028371352104052E-5</v>
          </cell>
          <cell r="F717">
            <v>6.2556828066329904E-5</v>
          </cell>
          <cell r="G717">
            <v>4.1979452970911843E-5</v>
          </cell>
          <cell r="H717">
            <v>4.7498104963536077E-5</v>
          </cell>
          <cell r="I717">
            <v>3.5413196831332132E-5</v>
          </cell>
        </row>
        <row r="718">
          <cell r="A718" t="str">
            <v>RHES-SHCONBR8</v>
          </cell>
          <cell r="B718" t="str">
            <v>VAR_fin</v>
          </cell>
          <cell r="C718" t="str">
            <v>CON</v>
          </cell>
          <cell r="E718">
            <v>6.2028371352104052E-5</v>
          </cell>
          <cell r="F718">
            <v>6.2556828066329904E-5</v>
          </cell>
          <cell r="G718">
            <v>4.1979452970911843E-5</v>
          </cell>
          <cell r="H718">
            <v>4.7498104963536077E-5</v>
          </cell>
          <cell r="I718">
            <v>3.5413196831332132E-5</v>
          </cell>
        </row>
        <row r="719">
          <cell r="A719" t="str">
            <v>RHES-SHCONBR8</v>
          </cell>
          <cell r="B719" t="str">
            <v>VAR_cap</v>
          </cell>
          <cell r="C719" t="str">
            <v>-</v>
          </cell>
          <cell r="F719">
            <v>-2.4085988714928499E-8</v>
          </cell>
          <cell r="G719">
            <v>-2.97791972357235E-8</v>
          </cell>
          <cell r="H719">
            <v>-5.1902526701666701E-8</v>
          </cell>
          <cell r="I719">
            <v>-5.9431692152827003E-9</v>
          </cell>
        </row>
        <row r="720">
          <cell r="A720" t="str">
            <v>RHEM-SHWODBR</v>
          </cell>
          <cell r="B720" t="str">
            <v>VAR_fout</v>
          </cell>
          <cell r="C720" t="str">
            <v>RHEM-SHWOD</v>
          </cell>
          <cell r="D720">
            <v>4.7439234460736568</v>
          </cell>
          <cell r="E720">
            <v>3.9705133017479453</v>
          </cell>
          <cell r="F720">
            <v>5.6239749436103921</v>
          </cell>
          <cell r="G720">
            <v>5.176467305013448</v>
          </cell>
          <cell r="H720">
            <v>4.0216168329624953</v>
          </cell>
          <cell r="I720">
            <v>2.5807501815050711</v>
          </cell>
        </row>
        <row r="721">
          <cell r="A721" t="str">
            <v>RHEM-SHWODBR</v>
          </cell>
          <cell r="B721" t="str">
            <v>VAR_fin</v>
          </cell>
          <cell r="C721" t="str">
            <v>RHEMWODBRC</v>
          </cell>
          <cell r="D721">
            <v>4.7439234460736568</v>
          </cell>
          <cell r="E721">
            <v>3.9705133017479453</v>
          </cell>
          <cell r="F721">
            <v>5.6239749436103921</v>
          </cell>
          <cell r="G721">
            <v>5.176467305013448</v>
          </cell>
          <cell r="H721">
            <v>4.0216168329624953</v>
          </cell>
          <cell r="I721">
            <v>2.5807501815050711</v>
          </cell>
        </row>
        <row r="722">
          <cell r="A722" t="str">
            <v>RHEM-SHWODBR</v>
          </cell>
          <cell r="B722" t="str">
            <v>VAR_fin</v>
          </cell>
          <cell r="C722" t="str">
            <v>RWOD</v>
          </cell>
          <cell r="D722">
            <v>6.5887825639911899</v>
          </cell>
          <cell r="E722">
            <v>5.5146018079832588</v>
          </cell>
          <cell r="F722">
            <v>7.7828045446059377</v>
          </cell>
          <cell r="G722">
            <v>7.1308071512989928</v>
          </cell>
          <cell r="H722">
            <v>5.5399507777242354</v>
          </cell>
          <cell r="I722">
            <v>3.4543740707744086</v>
          </cell>
        </row>
        <row r="723">
          <cell r="A723" t="str">
            <v>RHEM-SHWODBR</v>
          </cell>
          <cell r="B723" t="str">
            <v>VAR_ncap</v>
          </cell>
          <cell r="C723" t="str">
            <v>-</v>
          </cell>
          <cell r="D723">
            <v>4.08090379286871E-7</v>
          </cell>
          <cell r="E723">
            <v>2.5171235704114801E-7</v>
          </cell>
          <cell r="F723">
            <v>6.2070424894892999E-2</v>
          </cell>
          <cell r="G723">
            <v>1.7919105823736E-7</v>
          </cell>
          <cell r="H723">
            <v>9.7348831927419305E-2</v>
          </cell>
          <cell r="I723">
            <v>3.7588442489165298E-2</v>
          </cell>
        </row>
        <row r="724">
          <cell r="A724" t="str">
            <v>RHEM-SHWODBR</v>
          </cell>
          <cell r="B724" t="str">
            <v>VAR_cap</v>
          </cell>
          <cell r="C724" t="str">
            <v>-</v>
          </cell>
          <cell r="D724">
            <v>0.33507218704537228</v>
          </cell>
          <cell r="E724">
            <v>0.33507198731204429</v>
          </cell>
          <cell r="F724">
            <v>0.39714270979225885</v>
          </cell>
          <cell r="G724">
            <v>0.39714081247386207</v>
          </cell>
          <cell r="H724">
            <v>0.28407568356874285</v>
          </cell>
          <cell r="I724">
            <v>0.18257175527614045</v>
          </cell>
        </row>
        <row r="725">
          <cell r="A725" t="str">
            <v>RHES-SHCONBR9</v>
          </cell>
          <cell r="B725" t="str">
            <v>VAR_fout</v>
          </cell>
          <cell r="C725" t="str">
            <v>RHES-SHCON</v>
          </cell>
          <cell r="E725">
            <v>6.1993258882165109E-5</v>
          </cell>
          <cell r="F725">
            <v>6.2571344360539441E-5</v>
          </cell>
          <cell r="G725">
            <v>4.1837794883654815E-5</v>
          </cell>
          <cell r="H725">
            <v>4.7278173196426897E-5</v>
          </cell>
          <cell r="I725">
            <v>3.5217319544900521E-5</v>
          </cell>
        </row>
        <row r="726">
          <cell r="A726" t="str">
            <v>RHES-SHCONBR9</v>
          </cell>
          <cell r="B726" t="str">
            <v>VAR_fin</v>
          </cell>
          <cell r="C726" t="str">
            <v>CON</v>
          </cell>
          <cell r="E726">
            <v>6.1993258882165109E-5</v>
          </cell>
          <cell r="F726">
            <v>6.2571344360539441E-5</v>
          </cell>
          <cell r="G726">
            <v>4.1837794883654815E-5</v>
          </cell>
          <cell r="H726">
            <v>4.7278173196426897E-5</v>
          </cell>
          <cell r="I726">
            <v>3.5217319544900521E-5</v>
          </cell>
        </row>
        <row r="727">
          <cell r="A727" t="str">
            <v>RHES-SHCONBR9</v>
          </cell>
          <cell r="B727" t="str">
            <v>VAR_cap</v>
          </cell>
          <cell r="C727" t="str">
            <v>-</v>
          </cell>
          <cell r="F727">
            <v>-2.40535361014284E-8</v>
          </cell>
          <cell r="G727">
            <v>-3.0138692334526898E-8</v>
          </cell>
          <cell r="H727">
            <v>-5.28901859404575E-8</v>
          </cell>
          <cell r="I727">
            <v>-6.1558183608805401E-9</v>
          </cell>
        </row>
        <row r="728">
          <cell r="A728" t="str">
            <v>D-RHNS_LTH_CHPNGA</v>
          </cell>
          <cell r="B728" t="str">
            <v>VAR_fout</v>
          </cell>
          <cell r="C728" t="str">
            <v>RHSA_LTH</v>
          </cell>
          <cell r="D728">
            <v>2.5238749417070797E-5</v>
          </cell>
          <cell r="E728">
            <v>6.2027099753600258E-5</v>
          </cell>
          <cell r="F728">
            <v>1.3488757891169138E-4</v>
          </cell>
          <cell r="G728">
            <v>3.1418484491607256E-3</v>
          </cell>
          <cell r="H728">
            <v>1.3091299645032002E-3</v>
          </cell>
          <cell r="I728">
            <v>2.1334625587746461E-5</v>
          </cell>
        </row>
        <row r="729">
          <cell r="A729" t="str">
            <v>D-RHNS_LTH_CHPNGA</v>
          </cell>
          <cell r="B729" t="str">
            <v>VAR_fout</v>
          </cell>
          <cell r="C729" t="str">
            <v>LTH</v>
          </cell>
          <cell r="F729">
            <v>1.9579127321030647E-7</v>
          </cell>
          <cell r="G729">
            <v>1.2356054899407076E-6</v>
          </cell>
          <cell r="H729">
            <v>1.3745764205058713E-6</v>
          </cell>
          <cell r="I729">
            <v>1.3163589962059036E-5</v>
          </cell>
        </row>
        <row r="730">
          <cell r="A730" t="str">
            <v>D-RHNS_LTH_CHPNGA</v>
          </cell>
          <cell r="B730" t="str">
            <v>VAR_fout</v>
          </cell>
          <cell r="C730" t="str">
            <v>RHNS_LTH_CHPNGA_ON</v>
          </cell>
          <cell r="D730">
            <v>5.4128520635074651E-5</v>
          </cell>
          <cell r="E730">
            <v>9.287253749690051E-4</v>
          </cell>
          <cell r="F730">
            <v>2.4001619256237851E-3</v>
          </cell>
          <cell r="H730">
            <v>1.6708799004171097E-4</v>
          </cell>
          <cell r="I730">
            <v>4.5016466357230401E-6</v>
          </cell>
        </row>
        <row r="731">
          <cell r="A731" t="str">
            <v>D-RHNS_LTH_CHPNGA</v>
          </cell>
          <cell r="B731" t="str">
            <v>VAR_fin</v>
          </cell>
          <cell r="C731" t="str">
            <v>RHNS_LTH_CHPNGA</v>
          </cell>
          <cell r="D731">
            <v>7.9367270052145414E-5</v>
          </cell>
          <cell r="E731">
            <v>9.9100307676154163E-4</v>
          </cell>
          <cell r="F731">
            <v>2.5359276855996993E-3</v>
          </cell>
          <cell r="G731">
            <v>3.1439314933325679E-3</v>
          </cell>
          <cell r="H731">
            <v>1.4787982414234979E-3</v>
          </cell>
          <cell r="I731">
            <v>3.8999862185528522E-5</v>
          </cell>
        </row>
        <row r="732">
          <cell r="A732" t="str">
            <v>D-SLFO</v>
          </cell>
          <cell r="B732" t="str">
            <v>VAR_fout</v>
          </cell>
          <cell r="C732" t="str">
            <v>CO2</v>
          </cell>
          <cell r="D732">
            <v>2267.7888139432998</v>
          </cell>
          <cell r="E732">
            <v>2007.503114822</v>
          </cell>
          <cell r="F732">
            <v>1834.5721314683201</v>
          </cell>
          <cell r="G732">
            <v>955.88575200966795</v>
          </cell>
          <cell r="H732">
            <v>252.85870209132</v>
          </cell>
          <cell r="I732">
            <v>4.4756523642558601E-4</v>
          </cell>
        </row>
        <row r="733">
          <cell r="A733" t="str">
            <v>D-SLFO</v>
          </cell>
          <cell r="B733" t="str">
            <v>VAR_fout</v>
          </cell>
          <cell r="C733" t="str">
            <v>SLFO</v>
          </cell>
          <cell r="D733">
            <v>30.256636334867888</v>
          </cell>
          <cell r="E733">
            <v>26.783927724145961</v>
          </cell>
          <cell r="F733">
            <v>24.476735960270798</v>
          </cell>
          <cell r="G733">
            <v>12.753616868087873</v>
          </cell>
          <cell r="H733">
            <v>3.3738708703808893</v>
          </cell>
          <cell r="I733">
            <v>8.4976441279224532E-2</v>
          </cell>
        </row>
        <row r="734">
          <cell r="A734" t="str">
            <v>D-SLFO</v>
          </cell>
          <cell r="B734" t="str">
            <v>VAR_fin</v>
          </cell>
          <cell r="C734" t="str">
            <v>LFO</v>
          </cell>
          <cell r="D734">
            <v>30.770540216326914</v>
          </cell>
          <cell r="E734">
            <v>27.238848233677107</v>
          </cell>
          <cell r="F734">
            <v>24.892430549095188</v>
          </cell>
          <cell r="G734">
            <v>12.969955929574866</v>
          </cell>
          <cell r="H734">
            <v>3.4309186172499353</v>
          </cell>
          <cell r="I734">
            <v>6.0727983232779611E-6</v>
          </cell>
        </row>
        <row r="735">
          <cell r="A735" t="str">
            <v>D-SLFO</v>
          </cell>
          <cell r="B735" t="str">
            <v>VAR_fin</v>
          </cell>
          <cell r="C735" t="str">
            <v>BDS</v>
          </cell>
          <cell r="F735">
            <v>3.8291422765374523E-5</v>
          </cell>
          <cell r="G735">
            <v>2.8025771105447388E-4</v>
          </cell>
          <cell r="H735">
            <v>2.6046530197980459E-4</v>
          </cell>
          <cell r="I735">
            <v>8.6416608730044572E-2</v>
          </cell>
        </row>
        <row r="736">
          <cell r="A736" t="str">
            <v>D-RCOA</v>
          </cell>
          <cell r="B736" t="str">
            <v>VAR_fout</v>
          </cell>
          <cell r="C736" t="str">
            <v>CO2</v>
          </cell>
          <cell r="D736">
            <v>9.2704652073329701</v>
          </cell>
          <cell r="E736">
            <v>9.2702397763347104</v>
          </cell>
          <cell r="F736">
            <v>2.40310287792264</v>
          </cell>
          <cell r="G736">
            <v>4.3282398721534401E-2</v>
          </cell>
        </row>
        <row r="737">
          <cell r="A737" t="str">
            <v>D-RCOA</v>
          </cell>
          <cell r="B737" t="str">
            <v>VAR_fout</v>
          </cell>
          <cell r="C737" t="str">
            <v>RCOA</v>
          </cell>
          <cell r="D737">
            <v>0.10000501841783141</v>
          </cell>
          <cell r="E737">
            <v>0.10000258658397747</v>
          </cell>
          <cell r="F737">
            <v>2.5923439891290635E-2</v>
          </cell>
          <cell r="G737">
            <v>4.6690829257318604E-4</v>
          </cell>
        </row>
        <row r="738">
          <cell r="A738" t="str">
            <v>D-RCOA</v>
          </cell>
          <cell r="B738" t="str">
            <v>VAR_fin</v>
          </cell>
          <cell r="C738" t="str">
            <v>COA</v>
          </cell>
          <cell r="D738">
            <v>0.10000501841783141</v>
          </cell>
          <cell r="E738">
            <v>0.10000258658397747</v>
          </cell>
          <cell r="F738">
            <v>2.5923439891290635E-2</v>
          </cell>
          <cell r="G738">
            <v>4.6690829257318604E-4</v>
          </cell>
        </row>
        <row r="739">
          <cell r="A739" t="str">
            <v>SCOM-ELCSPECDC</v>
          </cell>
          <cell r="B739" t="str">
            <v>VAR_fout</v>
          </cell>
          <cell r="C739" t="str">
            <v>SCOM-ELSDC</v>
          </cell>
          <cell r="F739">
            <v>13.290698929185066</v>
          </cell>
          <cell r="G739">
            <v>13.175113596716098</v>
          </cell>
          <cell r="H739">
            <v>13.115304700392915</v>
          </cell>
          <cell r="I739">
            <v>12.838404140405576</v>
          </cell>
        </row>
        <row r="740">
          <cell r="A740" t="str">
            <v>SCOM-ELCSPECDC</v>
          </cell>
          <cell r="B740" t="str">
            <v>VAR_fin</v>
          </cell>
          <cell r="C740" t="str">
            <v>SCOM_ELC</v>
          </cell>
          <cell r="F740">
            <v>13.290698929185066</v>
          </cell>
          <cell r="G740">
            <v>13.175113596716098</v>
          </cell>
          <cell r="H740">
            <v>13.115304700392915</v>
          </cell>
          <cell r="I740">
            <v>12.838404140405576</v>
          </cell>
        </row>
        <row r="741">
          <cell r="A741" t="str">
            <v>D-RHEM_KEV_WOD_ELC_CHP</v>
          </cell>
          <cell r="B741" t="str">
            <v>VAR_fout</v>
          </cell>
          <cell r="C741" t="str">
            <v>ELC5</v>
          </cell>
          <cell r="G741">
            <v>4.6216990449471823E-4</v>
          </cell>
          <cell r="H741">
            <v>8.9047872862733052E-2</v>
          </cell>
          <cell r="I741">
            <v>5.7997307023793236E-2</v>
          </cell>
        </row>
        <row r="742">
          <cell r="A742" t="str">
            <v>D-RHEM_KEV_WOD_ELC_CHP</v>
          </cell>
          <cell r="B742" t="str">
            <v>VAR_fout</v>
          </cell>
          <cell r="C742" t="str">
            <v>RHEM_ELC</v>
          </cell>
          <cell r="G742">
            <v>4.6177701474370801E-4</v>
          </cell>
          <cell r="H742">
            <v>8.8924578104593588E-2</v>
          </cell>
          <cell r="I742">
            <v>5.7932004667767663E-2</v>
          </cell>
        </row>
        <row r="743">
          <cell r="A743" t="str">
            <v>D-RHEM_KEV_WOD_ELC_CHP</v>
          </cell>
          <cell r="B743" t="str">
            <v>VAR_fin</v>
          </cell>
          <cell r="C743" t="str">
            <v>RHEM_KEV_WOD_ELC_CHP</v>
          </cell>
          <cell r="G743">
            <v>9.1571363872982475E-4</v>
          </cell>
          <cell r="H743">
            <v>0.17796349505882691</v>
          </cell>
          <cell r="I743">
            <v>0.11592113589062791</v>
          </cell>
        </row>
        <row r="744">
          <cell r="A744" t="str">
            <v>RHES-SHSTG-SOL</v>
          </cell>
          <cell r="B744" t="str">
            <v>VAR_fout</v>
          </cell>
          <cell r="C744" t="str">
            <v>RHES-SHASOL</v>
          </cell>
          <cell r="D744">
            <v>2.3723626168397345E-5</v>
          </cell>
          <cell r="E744">
            <v>5.6520810981624765E-6</v>
          </cell>
          <cell r="F744">
            <v>2.6337722064918674E-3</v>
          </cell>
          <cell r="G744">
            <v>1.8118733022622639E-3</v>
          </cell>
          <cell r="H744">
            <v>3.22844335875048E-3</v>
          </cell>
          <cell r="I744">
            <v>3.2547800311073754E-3</v>
          </cell>
        </row>
        <row r="745">
          <cell r="A745" t="str">
            <v>RHES-SHSTG-SOL</v>
          </cell>
          <cell r="B745" t="str">
            <v>VAR_fin</v>
          </cell>
          <cell r="C745" t="str">
            <v>RHES-SHASOL</v>
          </cell>
          <cell r="D745">
            <v>9.8157513246623875E-7</v>
          </cell>
          <cell r="E745">
            <v>1.5044820252308479E-5</v>
          </cell>
          <cell r="F745">
            <v>2.6427122821244846E-3</v>
          </cell>
          <cell r="G745">
            <v>1.8199118897131896E-3</v>
          </cell>
          <cell r="H745">
            <v>3.2316314138272537E-3</v>
          </cell>
          <cell r="I745">
            <v>3.2596162218942477E-3</v>
          </cell>
        </row>
        <row r="746">
          <cell r="A746" t="str">
            <v>RHES-SHSTG-SOL</v>
          </cell>
          <cell r="B746" t="str">
            <v>VAR_ncap</v>
          </cell>
          <cell r="C746" t="str">
            <v>-</v>
          </cell>
          <cell r="D746">
            <v>9.8154633068522606E-3</v>
          </cell>
          <cell r="E746">
            <v>1.3461583580234001E-3</v>
          </cell>
          <cell r="F746">
            <v>1.82314222549779E-7</v>
          </cell>
          <cell r="G746">
            <v>2.9240559926857798E-7</v>
          </cell>
          <cell r="H746">
            <v>7.0421290956720905E-4</v>
          </cell>
          <cell r="I746">
            <v>1.9270909976185901E-4</v>
          </cell>
        </row>
        <row r="747">
          <cell r="A747" t="str">
            <v>RHES-SHSTG-SOL</v>
          </cell>
          <cell r="B747" t="str">
            <v>VAR_cap</v>
          </cell>
          <cell r="C747" t="str">
            <v>-</v>
          </cell>
          <cell r="D747">
            <v>9.8154633068522606E-3</v>
          </cell>
          <cell r="E747">
            <v>1.11616216648757E-2</v>
          </cell>
          <cell r="F747">
            <v>1.11618039790982E-2</v>
          </cell>
          <cell r="G747">
            <v>1.1162096384697499E-2</v>
          </cell>
          <cell r="H747">
            <v>7.2799187872194101E-4</v>
          </cell>
          <cell r="I747">
            <v>7.1374025782195696E-4</v>
          </cell>
        </row>
        <row r="748">
          <cell r="A748" t="str">
            <v>D-ITOT_LTH</v>
          </cell>
          <cell r="B748" t="str">
            <v>VAR_fout</v>
          </cell>
          <cell r="C748" t="str">
            <v>ITOT_LTH_DH</v>
          </cell>
          <cell r="D748">
            <v>7.1200090411603778</v>
          </cell>
          <cell r="E748">
            <v>7.6289079867003018</v>
          </cell>
          <cell r="F748">
            <v>7.3892713185646377</v>
          </cell>
          <cell r="G748">
            <v>7.5477919715634734</v>
          </cell>
          <cell r="H748">
            <v>6.3889816209550796</v>
          </cell>
          <cell r="I748">
            <v>7.9356651473046895</v>
          </cell>
        </row>
        <row r="749">
          <cell r="A749" t="str">
            <v>D-ITOT_LTH</v>
          </cell>
          <cell r="B749" t="str">
            <v>VAR_fin</v>
          </cell>
          <cell r="C749" t="str">
            <v>LTH</v>
          </cell>
          <cell r="D749">
            <v>7.7403455194214645</v>
          </cell>
          <cell r="E749">
            <v>8.2914030385250346</v>
          </cell>
          <cell r="F749">
            <v>8.027791599672728</v>
          </cell>
          <cell r="G749">
            <v>8.1946283118269303</v>
          </cell>
          <cell r="H749">
            <v>6.9274158785229805</v>
          </cell>
          <cell r="I749">
            <v>8.5931815304984003</v>
          </cell>
        </row>
        <row r="750">
          <cell r="A750" t="str">
            <v>D-ITOT_LTH</v>
          </cell>
          <cell r="B750" t="str">
            <v>VAR_ncap</v>
          </cell>
          <cell r="C750" t="str">
            <v>-</v>
          </cell>
          <cell r="D750">
            <v>0.79547237737015197</v>
          </cell>
          <cell r="E750">
            <v>2.54325574704712E-8</v>
          </cell>
          <cell r="F750">
            <v>2.8917693695337899E-8</v>
          </cell>
          <cell r="G750">
            <v>3.3109822458805699E-8</v>
          </cell>
          <cell r="H750">
            <v>6.1213975256294895E-8</v>
          </cell>
          <cell r="I750">
            <v>7.0228636901840905E-8</v>
          </cell>
        </row>
        <row r="751">
          <cell r="A751" t="str">
            <v>D-ITOT_LTH</v>
          </cell>
          <cell r="B751" t="str">
            <v>VAR_cap</v>
          </cell>
          <cell r="C751" t="str">
            <v>-</v>
          </cell>
          <cell r="D751">
            <v>0.79547237737015197</v>
          </cell>
          <cell r="E751">
            <v>0.79547240280271003</v>
          </cell>
          <cell r="F751">
            <v>0.79547243172040305</v>
          </cell>
          <cell r="G751">
            <v>0.79547246483022604</v>
          </cell>
          <cell r="H751">
            <v>0.79547257395191595</v>
          </cell>
          <cell r="I751">
            <v>0.79547264418055297</v>
          </cell>
        </row>
        <row r="752">
          <cell r="A752" t="str">
            <v>D-IH2</v>
          </cell>
          <cell r="B752" t="str">
            <v>VAR_fout</v>
          </cell>
          <cell r="C752" t="str">
            <v>IH2</v>
          </cell>
          <cell r="G752">
            <v>1.0052407913747822E-3</v>
          </cell>
          <cell r="H752">
            <v>0.6936725948724205</v>
          </cell>
          <cell r="I752">
            <v>12.114259026469737</v>
          </cell>
        </row>
        <row r="753">
          <cell r="A753" t="str">
            <v>D-IH2</v>
          </cell>
          <cell r="B753" t="str">
            <v>VAR_fin</v>
          </cell>
          <cell r="C753" t="str">
            <v>H2</v>
          </cell>
          <cell r="G753">
            <v>1.0128991057753514E-3</v>
          </cell>
          <cell r="H753">
            <v>0.69895726185785689</v>
          </cell>
          <cell r="I753">
            <v>12.206550152288219</v>
          </cell>
        </row>
        <row r="754">
          <cell r="A754" t="str">
            <v>D-IH2</v>
          </cell>
          <cell r="B754" t="str">
            <v>VAR_ncap</v>
          </cell>
          <cell r="C754" t="str">
            <v>-</v>
          </cell>
          <cell r="G754">
            <v>1.1856558811321E-4</v>
          </cell>
          <cell r="H754">
            <v>3.9958951353793702E-2</v>
          </cell>
          <cell r="I754">
            <v>0.40441372433768003</v>
          </cell>
        </row>
        <row r="755">
          <cell r="A755" t="str">
            <v>D-IH2</v>
          </cell>
          <cell r="B755" t="str">
            <v>VAR_cap</v>
          </cell>
          <cell r="C755" t="str">
            <v>-</v>
          </cell>
          <cell r="G755">
            <v>1.1856558811321E-4</v>
          </cell>
          <cell r="H755">
            <v>7.1902198664609202E-2</v>
          </cell>
          <cell r="I755">
            <v>0.47631592300228898</v>
          </cell>
        </row>
        <row r="756">
          <cell r="A756" t="str">
            <v>D-RHNM_LTH_CHPWOD</v>
          </cell>
          <cell r="B756" t="str">
            <v>VAR_fout</v>
          </cell>
          <cell r="C756" t="str">
            <v>RHNM_LTH_CHPWOD_ON</v>
          </cell>
          <cell r="D756">
            <v>5.5105844398789424E-5</v>
          </cell>
          <cell r="E756">
            <v>3.4227216379831603E-5</v>
          </cell>
          <cell r="F756">
            <v>5.067466520556243E-6</v>
          </cell>
          <cell r="H756">
            <v>9.2941475414514571E-2</v>
          </cell>
        </row>
        <row r="757">
          <cell r="A757" t="str">
            <v>D-RHNM_LTH_CHPWOD</v>
          </cell>
          <cell r="B757" t="str">
            <v>VAR_fout</v>
          </cell>
          <cell r="C757" t="str">
            <v>RHSA_LTH</v>
          </cell>
          <cell r="D757">
            <v>2.4263249387993131E-5</v>
          </cell>
          <cell r="E757">
            <v>5.249874898272109E-5</v>
          </cell>
          <cell r="F757">
            <v>2.4540691793671385E-5</v>
          </cell>
          <cell r="G757">
            <v>3.0663142459008319E-3</v>
          </cell>
          <cell r="H757">
            <v>0.38617194268611271</v>
          </cell>
          <cell r="I757">
            <v>0.31407434206843055</v>
          </cell>
        </row>
        <row r="758">
          <cell r="A758" t="str">
            <v>D-RHNM_LTH_CHPWOD</v>
          </cell>
          <cell r="B758" t="str">
            <v>VAR_fout</v>
          </cell>
          <cell r="C758" t="str">
            <v>LTH</v>
          </cell>
          <cell r="G758">
            <v>8.0737381498690633E-7</v>
          </cell>
          <cell r="H758">
            <v>2.8285850993104025E-4</v>
          </cell>
          <cell r="I758">
            <v>1.2305902559764419E-4</v>
          </cell>
        </row>
        <row r="759">
          <cell r="A759" t="str">
            <v>D-RHNM_LTH_CHPWOD</v>
          </cell>
          <cell r="B759" t="str">
            <v>VAR_fin</v>
          </cell>
          <cell r="C759" t="str">
            <v>RHNM_LTH_CHPWOD</v>
          </cell>
          <cell r="D759">
            <v>7.9369093786782572E-5</v>
          </cell>
          <cell r="E759">
            <v>8.8239337301748171E-5</v>
          </cell>
          <cell r="F759">
            <v>3.0451510888891281E-5</v>
          </cell>
          <cell r="G759">
            <v>3.0683481870520208E-3</v>
          </cell>
          <cell r="H759">
            <v>0.47939652398497257</v>
          </cell>
          <cell r="I759">
            <v>0.31419740109402833</v>
          </cell>
        </row>
        <row r="760">
          <cell r="A760" t="str">
            <v>RHNS-SHWODBR</v>
          </cell>
          <cell r="B760" t="str">
            <v>VAR_fout</v>
          </cell>
          <cell r="C760" t="str">
            <v>RHNS-SHWOD</v>
          </cell>
          <cell r="E760">
            <v>2.6573326715096577E-2</v>
          </cell>
          <cell r="F760">
            <v>2.6529215819989883E-2</v>
          </cell>
          <cell r="G760">
            <v>8.7685327209434699E-2</v>
          </cell>
          <cell r="H760">
            <v>9.6845165435606659E-2</v>
          </cell>
          <cell r="I760">
            <v>0.10153169727279561</v>
          </cell>
        </row>
        <row r="761">
          <cell r="A761" t="str">
            <v>RHNS-SHWODBR</v>
          </cell>
          <cell r="B761" t="str">
            <v>VAR_fin</v>
          </cell>
          <cell r="C761" t="str">
            <v>RHNSWODBRC</v>
          </cell>
          <cell r="E761">
            <v>2.6573326715096577E-2</v>
          </cell>
          <cell r="F761">
            <v>2.6529215819989883E-2</v>
          </cell>
          <cell r="G761">
            <v>8.7685327209434699E-2</v>
          </cell>
          <cell r="H761">
            <v>9.6845165435606659E-2</v>
          </cell>
          <cell r="I761">
            <v>0.10153169727279561</v>
          </cell>
        </row>
        <row r="762">
          <cell r="A762" t="str">
            <v>RHNS-SHWODBR</v>
          </cell>
          <cell r="B762" t="str">
            <v>VAR_fin</v>
          </cell>
          <cell r="C762" t="str">
            <v>RWOD</v>
          </cell>
          <cell r="E762">
            <v>3.6907398215411905E-2</v>
          </cell>
          <cell r="F762">
            <v>3.5702492663304559E-2</v>
          </cell>
          <cell r="G762">
            <v>0.11543426410178871</v>
          </cell>
          <cell r="H762">
            <v>0.12699881795069387</v>
          </cell>
          <cell r="I762">
            <v>0.13314454552453997</v>
          </cell>
        </row>
        <row r="763">
          <cell r="A763" t="str">
            <v>RHNS-SHWODBR</v>
          </cell>
          <cell r="B763" t="str">
            <v>VAR_ncap</v>
          </cell>
          <cell r="C763" t="str">
            <v>-</v>
          </cell>
          <cell r="E763">
            <v>1.9569784082887798E-3</v>
          </cell>
          <cell r="F763">
            <v>4.4431819191101899E-3</v>
          </cell>
        </row>
        <row r="764">
          <cell r="A764" t="str">
            <v>RHNS-SHWODBR</v>
          </cell>
          <cell r="B764" t="str">
            <v>VAR_cap</v>
          </cell>
          <cell r="C764" t="str">
            <v>-</v>
          </cell>
          <cell r="E764">
            <v>1.9569784082887798E-3</v>
          </cell>
          <cell r="F764">
            <v>6.3999339998933686E-3</v>
          </cell>
          <cell r="G764">
            <v>6.4000344814944456E-3</v>
          </cell>
          <cell r="H764">
            <v>1.7501524561040371E-2</v>
          </cell>
          <cell r="I764">
            <v>7.3994090960791802E-3</v>
          </cell>
        </row>
        <row r="765">
          <cell r="A765" t="str">
            <v>D-RHNM_NKEV_GAS_ELC_CHP</v>
          </cell>
          <cell r="B765" t="str">
            <v>VAR_fout</v>
          </cell>
          <cell r="C765" t="str">
            <v>ELC5</v>
          </cell>
          <cell r="E765">
            <v>1.9794682002367357E-2</v>
          </cell>
          <cell r="F765">
            <v>1.9954920404688145E-2</v>
          </cell>
          <cell r="G765">
            <v>8.0816649312006619E-2</v>
          </cell>
          <cell r="H765">
            <v>4.1814459546301253E-2</v>
          </cell>
        </row>
        <row r="766">
          <cell r="A766" t="str">
            <v>D-RHNM_NKEV_GAS_ELC_CHP</v>
          </cell>
          <cell r="B766" t="str">
            <v>VAR_fout</v>
          </cell>
          <cell r="C766" t="str">
            <v>RHNM_ELC</v>
          </cell>
          <cell r="E766">
            <v>1.9759076217386529E-2</v>
          </cell>
          <cell r="F766">
            <v>1.9914069626366215E-2</v>
          </cell>
          <cell r="G766">
            <v>8.0308882501408094E-2</v>
          </cell>
          <cell r="H766">
            <v>4.1742319537859923E-2</v>
          </cell>
        </row>
        <row r="767">
          <cell r="A767" t="str">
            <v>D-RHNM_NKEV_GAS_ELC_CHP</v>
          </cell>
          <cell r="B767" t="str">
            <v>VAR_fin</v>
          </cell>
          <cell r="C767" t="str">
            <v>RHNM_NKEV_GAS_ELC_CHP</v>
          </cell>
          <cell r="E767">
            <v>3.9553758219753869E-2</v>
          </cell>
          <cell r="F767">
            <v>3.9859475058699648E-2</v>
          </cell>
          <cell r="G767">
            <v>0.16111792295489674</v>
          </cell>
          <cell r="H767">
            <v>8.3544598645869994E-2</v>
          </cell>
        </row>
        <row r="768">
          <cell r="A768" t="str">
            <v>D-RLFO</v>
          </cell>
          <cell r="B768" t="str">
            <v>VAR_fout</v>
          </cell>
          <cell r="C768" t="str">
            <v>CO2</v>
          </cell>
          <cell r="D768">
            <v>4514.4853319508002</v>
          </cell>
          <cell r="E768">
            <v>3846.5288058136298</v>
          </cell>
          <cell r="F768">
            <v>3594.2138592535298</v>
          </cell>
          <cell r="G768">
            <v>1675.18107709779</v>
          </cell>
          <cell r="H768">
            <v>351.57336913264498</v>
          </cell>
          <cell r="I768">
            <v>5.3902002405587196E-4</v>
          </cell>
        </row>
        <row r="769">
          <cell r="A769" t="str">
            <v>D-RLFO</v>
          </cell>
          <cell r="B769" t="str">
            <v>VAR_fout</v>
          </cell>
          <cell r="C769" t="str">
            <v>RLFO</v>
          </cell>
          <cell r="D769">
            <v>60.231861136319175</v>
          </cell>
          <cell r="E769">
            <v>51.320044667971771</v>
          </cell>
          <cell r="F769">
            <v>47.953718932338866</v>
          </cell>
          <cell r="G769">
            <v>22.350393777852872</v>
          </cell>
          <cell r="H769">
            <v>4.6909194192838219</v>
          </cell>
          <cell r="I769">
            <v>0.1710554507793545</v>
          </cell>
        </row>
        <row r="770">
          <cell r="A770" t="str">
            <v>D-RLFO</v>
          </cell>
          <cell r="B770" t="str">
            <v>VAR_fin</v>
          </cell>
          <cell r="C770" t="str">
            <v>LFO</v>
          </cell>
          <cell r="D770">
            <v>61.254889171652557</v>
          </cell>
          <cell r="E770">
            <v>52.191706998828103</v>
          </cell>
          <cell r="F770">
            <v>48.768166339939242</v>
          </cell>
          <cell r="G770">
            <v>22.729729675682325</v>
          </cell>
          <cell r="H770">
            <v>4.7703306530888057</v>
          </cell>
          <cell r="I770">
            <v>7.3137045326441252E-6</v>
          </cell>
        </row>
        <row r="771">
          <cell r="A771" t="str">
            <v>D-RLFO</v>
          </cell>
          <cell r="B771" t="str">
            <v>VAR_fin</v>
          </cell>
          <cell r="C771" t="str">
            <v>BDS</v>
          </cell>
          <cell r="F771">
            <v>3.846995769685002E-5</v>
          </cell>
          <cell r="G771">
            <v>2.8186750035060973E-4</v>
          </cell>
          <cell r="H771">
            <v>2.635859890147059E-4</v>
          </cell>
          <cell r="I771">
            <v>0.17395361996869857</v>
          </cell>
        </row>
        <row r="772">
          <cell r="A772" t="str">
            <v>D-SCOM_LTH_CHPBIO</v>
          </cell>
          <cell r="B772" t="str">
            <v>VAR_fout</v>
          </cell>
          <cell r="C772" t="str">
            <v>SCOM_LTH_CHPBIO_ON</v>
          </cell>
          <cell r="D772">
            <v>1.424311893679048</v>
          </cell>
          <cell r="E772">
            <v>1.5428007597058218</v>
          </cell>
        </row>
        <row r="773">
          <cell r="A773" t="str">
            <v>D-SCOM_LTH_CHPBIO</v>
          </cell>
          <cell r="B773" t="str">
            <v>VAR_fout</v>
          </cell>
          <cell r="C773" t="str">
            <v>LTH</v>
          </cell>
          <cell r="E773">
            <v>3.5517414079549628E-2</v>
          </cell>
        </row>
        <row r="774">
          <cell r="A774" t="str">
            <v>D-SCOM_LTH_CHPBIO</v>
          </cell>
          <cell r="B774" t="str">
            <v>VAR_fin</v>
          </cell>
          <cell r="C774" t="str">
            <v>SCOM_LTH_CHPBIO</v>
          </cell>
          <cell r="D774">
            <v>1.424311893679048</v>
          </cell>
          <cell r="E774">
            <v>1.5783181737853713</v>
          </cell>
        </row>
        <row r="775">
          <cell r="A775" t="str">
            <v>D-SCOM_NKEV_GAS_ELC_CHP</v>
          </cell>
          <cell r="B775" t="str">
            <v>VAR_fout</v>
          </cell>
          <cell r="C775" t="str">
            <v>ELC5</v>
          </cell>
          <cell r="D775">
            <v>0.23045781921337316</v>
          </cell>
          <cell r="E775">
            <v>0.31325387207573757</v>
          </cell>
          <cell r="F775">
            <v>8.3206327258767046E-2</v>
          </cell>
          <cell r="G775">
            <v>8.3205804283390236E-2</v>
          </cell>
          <cell r="H775">
            <v>6.0699761080382372E-2</v>
          </cell>
        </row>
        <row r="776">
          <cell r="A776" t="str">
            <v>D-SCOM_NKEV_GAS_ELC_CHP</v>
          </cell>
          <cell r="B776" t="str">
            <v>VAR_fout</v>
          </cell>
          <cell r="C776" t="str">
            <v>SCOM_ELC</v>
          </cell>
          <cell r="D776">
            <v>0.36395080899836274</v>
          </cell>
          <cell r="E776">
            <v>0.31262089184282216</v>
          </cell>
          <cell r="F776">
            <v>8.3111229482777382E-2</v>
          </cell>
          <cell r="G776">
            <v>8.3462127739228342E-2</v>
          </cell>
          <cell r="H776">
            <v>6.0708047491747269E-2</v>
          </cell>
        </row>
        <row r="777">
          <cell r="A777" t="str">
            <v>D-SCOM_NKEV_GAS_ELC_CHP</v>
          </cell>
          <cell r="B777" t="str">
            <v>VAR_fin</v>
          </cell>
          <cell r="C777" t="str">
            <v>SCOM_NKEV_GAS_ELC_CHP</v>
          </cell>
          <cell r="D777">
            <v>0.59440862821173568</v>
          </cell>
          <cell r="E777">
            <v>0.62587476391855923</v>
          </cell>
          <cell r="F777">
            <v>0.16630627488457203</v>
          </cell>
          <cell r="G777">
            <v>0.16665611258900348</v>
          </cell>
          <cell r="H777">
            <v>0.12139218058749249</v>
          </cell>
        </row>
        <row r="778">
          <cell r="A778" t="str">
            <v>RHEM-SHLTHDH</v>
          </cell>
          <cell r="B778" t="str">
            <v>VAR_fout</v>
          </cell>
          <cell r="C778" t="str">
            <v>RHEM-SHLTHD</v>
          </cell>
          <cell r="D778">
            <v>3.4024174015313493</v>
          </cell>
          <cell r="E778">
            <v>3.7887322523486504</v>
          </cell>
          <cell r="F778">
            <v>4.4197872984813555</v>
          </cell>
          <cell r="G778">
            <v>5.0374021398400934</v>
          </cell>
          <cell r="H778">
            <v>5.2125082011567931</v>
          </cell>
          <cell r="I778">
            <v>4.6504819321205906</v>
          </cell>
        </row>
        <row r="779">
          <cell r="A779" t="str">
            <v>RHEM-SHLTHDH</v>
          </cell>
          <cell r="B779" t="str">
            <v>VAR_fin</v>
          </cell>
          <cell r="C779" t="str">
            <v>RHEMLTHDHC</v>
          </cell>
          <cell r="D779">
            <v>3.4024174015313493</v>
          </cell>
          <cell r="E779">
            <v>3.7887322523486504</v>
          </cell>
          <cell r="F779">
            <v>4.4197872984813555</v>
          </cell>
          <cell r="G779">
            <v>5.0374021398400934</v>
          </cell>
          <cell r="H779">
            <v>5.2125082011567931</v>
          </cell>
          <cell r="I779">
            <v>4.6504819321205906</v>
          </cell>
        </row>
        <row r="780">
          <cell r="A780" t="str">
            <v>RHEM-SHLTHDH</v>
          </cell>
          <cell r="B780" t="str">
            <v>VAR_fin</v>
          </cell>
          <cell r="C780" t="str">
            <v>RHEM_LTH_DH</v>
          </cell>
          <cell r="D780">
            <v>3.4367852540720678</v>
          </cell>
          <cell r="E780">
            <v>3.8270022750996504</v>
          </cell>
          <cell r="F780">
            <v>4.9530290719735977</v>
          </cell>
          <cell r="G780">
            <v>5.6451583664270375</v>
          </cell>
          <cell r="H780">
            <v>5.8413907536006038</v>
          </cell>
          <cell r="I780">
            <v>5.2115567227399628</v>
          </cell>
        </row>
        <row r="781">
          <cell r="A781" t="str">
            <v>RHEM-SHLTHDH</v>
          </cell>
          <cell r="B781" t="str">
            <v>VAR_ncap</v>
          </cell>
          <cell r="C781" t="str">
            <v>-</v>
          </cell>
          <cell r="D781">
            <v>1.5944513296881099E-8</v>
          </cell>
          <cell r="E781">
            <v>2.1456480011909699E-2</v>
          </cell>
          <cell r="F781">
            <v>0.19331346212037201</v>
          </cell>
          <cell r="G781">
            <v>1.83483178341972E-2</v>
          </cell>
          <cell r="H781">
            <v>7.0394822947478605E-2</v>
          </cell>
          <cell r="I781">
            <v>1.0955821473610501E-2</v>
          </cell>
        </row>
        <row r="782">
          <cell r="A782" t="str">
            <v>RHEM-SHLTHDH</v>
          </cell>
          <cell r="B782" t="str">
            <v>VAR_cap</v>
          </cell>
          <cell r="C782" t="str">
            <v>-</v>
          </cell>
          <cell r="D782">
            <v>0.31562548305620131</v>
          </cell>
          <cell r="E782">
            <v>0.27549449744295162</v>
          </cell>
          <cell r="F782">
            <v>0.46269694048602561</v>
          </cell>
          <cell r="G782">
            <v>0.42084344873267904</v>
          </cell>
          <cell r="H782">
            <v>0.41934734082217101</v>
          </cell>
          <cell r="I782">
            <v>0.37841822231751199</v>
          </cell>
        </row>
        <row r="783">
          <cell r="A783" t="str">
            <v>D-ITOT_SOLELC</v>
          </cell>
          <cell r="B783" t="str">
            <v>VAR_fout</v>
          </cell>
          <cell r="C783" t="str">
            <v>ITOT_ELC</v>
          </cell>
          <cell r="D783">
            <v>3.5166381380537612</v>
          </cell>
          <cell r="E783">
            <v>4.8490001309105528</v>
          </cell>
          <cell r="F783">
            <v>11.160357300344289</v>
          </cell>
          <cell r="G783">
            <v>15.953222726389583</v>
          </cell>
          <cell r="H783">
            <v>29.495242795961683</v>
          </cell>
          <cell r="I783">
            <v>41.020620194797594</v>
          </cell>
        </row>
        <row r="784">
          <cell r="A784" t="str">
            <v>D-ITOT_SOLELC</v>
          </cell>
          <cell r="B784" t="str">
            <v>VAR_fout</v>
          </cell>
          <cell r="C784" t="str">
            <v>ELC5</v>
          </cell>
          <cell r="D784">
            <v>1.315861653770897E-3</v>
          </cell>
          <cell r="E784">
            <v>8.3870531054344342E-4</v>
          </cell>
          <cell r="F784">
            <v>7.1720226976702741E-4</v>
          </cell>
          <cell r="G784">
            <v>0.30499086005928089</v>
          </cell>
          <cell r="H784">
            <v>11.106374831425583</v>
          </cell>
          <cell r="I784">
            <v>22.76955555266505</v>
          </cell>
        </row>
        <row r="785">
          <cell r="A785" t="str">
            <v>D-ITOT_SOLELC</v>
          </cell>
          <cell r="B785" t="str">
            <v>VAR_fin</v>
          </cell>
          <cell r="C785" t="str">
            <v>ITOT_SOL_ELC</v>
          </cell>
          <cell r="D785">
            <v>3.517953999707534</v>
          </cell>
          <cell r="E785">
            <v>4.8498357454346204</v>
          </cell>
          <cell r="F785">
            <v>11.161074502614065</v>
          </cell>
          <cell r="G785">
            <v>16.258213586448861</v>
          </cell>
          <cell r="H785">
            <v>40.601617627387277</v>
          </cell>
          <cell r="I785">
            <v>63.790175747462598</v>
          </cell>
        </row>
        <row r="786">
          <cell r="A786" t="str">
            <v>D-SWOD</v>
          </cell>
          <cell r="B786" t="str">
            <v>VAR_fout</v>
          </cell>
          <cell r="C786" t="str">
            <v>SWOD</v>
          </cell>
          <cell r="D786">
            <v>8.5743723336926845</v>
          </cell>
          <cell r="E786">
            <v>9.5836203355680905</v>
          </cell>
          <cell r="F786">
            <v>11.447822870455386</v>
          </cell>
          <cell r="G786">
            <v>11.110141368044374</v>
          </cell>
          <cell r="H786">
            <v>8.5377630743704085</v>
          </cell>
          <cell r="I786">
            <v>5.5831866625690694</v>
          </cell>
        </row>
        <row r="787">
          <cell r="A787" t="str">
            <v>D-SWOD</v>
          </cell>
          <cell r="B787" t="str">
            <v>VAR_fin</v>
          </cell>
          <cell r="C787" t="str">
            <v>WOD</v>
          </cell>
          <cell r="D787">
            <v>8.5743723336926845</v>
          </cell>
          <cell r="E787">
            <v>9.5836203355680905</v>
          </cell>
          <cell r="F787">
            <v>11.447822870455386</v>
          </cell>
          <cell r="G787">
            <v>11.110141368044374</v>
          </cell>
          <cell r="H787">
            <v>8.5377630743704085</v>
          </cell>
          <cell r="I787">
            <v>5.5831866625690694</v>
          </cell>
        </row>
        <row r="788">
          <cell r="A788" t="str">
            <v>ITOT-PROCESSCO2CCS</v>
          </cell>
          <cell r="B788" t="str">
            <v>VAR_fout</v>
          </cell>
          <cell r="C788" t="str">
            <v>CO2_O</v>
          </cell>
          <cell r="H788">
            <v>3.621440488414493E-2</v>
          </cell>
          <cell r="I788">
            <v>1031.8877204971427</v>
          </cell>
        </row>
        <row r="789">
          <cell r="A789" t="str">
            <v>ITOT-PROCESSCO2CCS</v>
          </cell>
          <cell r="B789" t="str">
            <v>VAR_fout</v>
          </cell>
          <cell r="C789" t="str">
            <v>CO2</v>
          </cell>
          <cell r="H789">
            <v>-3.6214404884144999E-2</v>
          </cell>
          <cell r="I789">
            <v>-1031.88772049714</v>
          </cell>
        </row>
        <row r="790">
          <cell r="A790" t="str">
            <v>ITOT-PROCESSCO2CCS</v>
          </cell>
          <cell r="B790" t="str">
            <v>VAR_fin</v>
          </cell>
          <cell r="C790" t="str">
            <v>ITOT_ELC</v>
          </cell>
          <cell r="H790">
            <v>7.668932798995396E-5</v>
          </cell>
          <cell r="I790">
            <v>2.1851739963468901</v>
          </cell>
        </row>
        <row r="791">
          <cell r="A791" t="str">
            <v>ITOT-PROCESSCO2CCS</v>
          </cell>
          <cell r="B791" t="str">
            <v>VAR_fin</v>
          </cell>
          <cell r="C791" t="str">
            <v>ITOT_LTH_DH</v>
          </cell>
          <cell r="H791">
            <v>2.9823627551648781E-5</v>
          </cell>
          <cell r="I791">
            <v>0.84978988746823514</v>
          </cell>
        </row>
        <row r="792">
          <cell r="A792" t="str">
            <v>ITOT-PROCESSCO2CCS</v>
          </cell>
          <cell r="B792" t="str">
            <v>VAR_ncap</v>
          </cell>
          <cell r="C792" t="str">
            <v>-</v>
          </cell>
          <cell r="H792">
            <v>0.11069063605566699</v>
          </cell>
          <cell r="I792">
            <v>2769.6034455853201</v>
          </cell>
        </row>
        <row r="793">
          <cell r="A793" t="str">
            <v>ITOT-PROCESSCO2CCS</v>
          </cell>
          <cell r="B793" t="str">
            <v>VAR_cap</v>
          </cell>
          <cell r="C793" t="str">
            <v>-</v>
          </cell>
          <cell r="H793">
            <v>0.11069063605566699</v>
          </cell>
          <cell r="I793">
            <v>2769.7141362213702</v>
          </cell>
        </row>
        <row r="794">
          <cell r="A794" t="str">
            <v>D-RSH2R</v>
          </cell>
          <cell r="B794" t="str">
            <v>VAR_fout</v>
          </cell>
          <cell r="C794" t="str">
            <v>RSH2</v>
          </cell>
          <cell r="G794">
            <v>1.2147229033026335E-4</v>
          </cell>
          <cell r="H794">
            <v>1.4694569697511377E-4</v>
          </cell>
          <cell r="I794">
            <v>7.5271982313847714E-5</v>
          </cell>
        </row>
        <row r="795">
          <cell r="A795" t="str">
            <v>D-RSH2R</v>
          </cell>
          <cell r="B795" t="str">
            <v>VAR_fin</v>
          </cell>
          <cell r="C795" t="str">
            <v>H2</v>
          </cell>
          <cell r="G795">
            <v>1.2147229033026335E-4</v>
          </cell>
          <cell r="H795">
            <v>1.4694569697511377E-4</v>
          </cell>
          <cell r="I795">
            <v>7.5271982313847714E-5</v>
          </cell>
        </row>
        <row r="796">
          <cell r="A796" t="str">
            <v>D-RSH2R</v>
          </cell>
          <cell r="B796" t="str">
            <v>VAR_ncap</v>
          </cell>
          <cell r="C796" t="str">
            <v>-</v>
          </cell>
          <cell r="G796">
            <v>2.3373643156930699E-5</v>
          </cell>
          <cell r="H796">
            <v>3.1740951586173301E-5</v>
          </cell>
          <cell r="I796">
            <v>1.2213744427568E-5</v>
          </cell>
        </row>
        <row r="797">
          <cell r="A797" t="str">
            <v>D-RSH2R</v>
          </cell>
          <cell r="B797" t="str">
            <v>VAR_cap</v>
          </cell>
          <cell r="C797" t="str">
            <v>-</v>
          </cell>
          <cell r="G797">
            <v>2.3373643156930699E-5</v>
          </cell>
          <cell r="H797">
            <v>3.6211035250976701E-5</v>
          </cell>
          <cell r="I797">
            <v>2.30856947377159E-5</v>
          </cell>
        </row>
        <row r="798">
          <cell r="A798" t="str">
            <v>SCOM-SHLTHCHPBIO</v>
          </cell>
          <cell r="B798" t="str">
            <v>VAR_fout</v>
          </cell>
          <cell r="C798" t="str">
            <v>SCOM-SHLTHC-BIO</v>
          </cell>
          <cell r="D798">
            <v>1.4100687747422582</v>
          </cell>
          <cell r="E798">
            <v>1.5273727521087632</v>
          </cell>
        </row>
        <row r="799">
          <cell r="A799" t="str">
            <v>SCOM-SHLTHCHPBIO</v>
          </cell>
          <cell r="B799" t="str">
            <v>VAR_fin</v>
          </cell>
          <cell r="C799" t="str">
            <v>SCOM_LTH_CHPBIO_ON</v>
          </cell>
          <cell r="D799">
            <v>1.424311893679048</v>
          </cell>
          <cell r="E799">
            <v>1.5428007597058218</v>
          </cell>
        </row>
        <row r="800">
          <cell r="A800" t="str">
            <v>SCOM-SHLTHCHPBIO</v>
          </cell>
          <cell r="B800" t="str">
            <v>VAR_fin</v>
          </cell>
          <cell r="C800" t="str">
            <v>SCOMLTHCHPC</v>
          </cell>
          <cell r="D800">
            <v>1.4100687747422582</v>
          </cell>
          <cell r="E800">
            <v>1.5273727521087632</v>
          </cell>
        </row>
        <row r="801">
          <cell r="A801" t="str">
            <v>SCOM-SHLTHCHPBIO</v>
          </cell>
          <cell r="B801" t="str">
            <v>VAR_ncap</v>
          </cell>
          <cell r="C801" t="str">
            <v>-</v>
          </cell>
          <cell r="D801">
            <v>2.0111906529944601E-7</v>
          </cell>
          <cell r="E801">
            <v>2.2850479281149701E-2</v>
          </cell>
          <cell r="F801">
            <v>1.95700170508269E-2</v>
          </cell>
          <cell r="G801">
            <v>1.7088588719168601E-2</v>
          </cell>
          <cell r="H801">
            <v>8.9739210062140598E-2</v>
          </cell>
          <cell r="I801">
            <v>1.7371348657323801E-2</v>
          </cell>
        </row>
        <row r="802">
          <cell r="A802" t="str">
            <v>SCOM-SHLTHCHPBIO</v>
          </cell>
          <cell r="B802" t="str">
            <v>VAR_cap</v>
          </cell>
          <cell r="C802" t="str">
            <v>-</v>
          </cell>
          <cell r="D802">
            <v>0.1091398886981043</v>
          </cell>
          <cell r="E802">
            <v>0.12094014106696001</v>
          </cell>
          <cell r="F802">
            <v>9.3689781246159398E-2</v>
          </cell>
          <cell r="G802">
            <v>7.6088700268988799E-2</v>
          </cell>
          <cell r="H802">
            <v>0.15197394458579191</v>
          </cell>
          <cell r="I802">
            <v>9.1875832360795801E-2</v>
          </cell>
        </row>
        <row r="803">
          <cell r="A803" t="str">
            <v>D-RSH2</v>
          </cell>
          <cell r="B803" t="str">
            <v>VAR_fout</v>
          </cell>
          <cell r="C803" t="str">
            <v>RSH2</v>
          </cell>
          <cell r="G803">
            <v>1.1454047806199368E-4</v>
          </cell>
          <cell r="H803">
            <v>1.3578223593095501E-4</v>
          </cell>
          <cell r="I803">
            <v>8.3547302651472587E-5</v>
          </cell>
        </row>
        <row r="804">
          <cell r="A804" t="str">
            <v>D-RSH2</v>
          </cell>
          <cell r="B804" t="str">
            <v>VAR_fin</v>
          </cell>
          <cell r="C804" t="str">
            <v>H2</v>
          </cell>
          <cell r="G804">
            <v>1.1541309186767753E-4</v>
          </cell>
          <cell r="H804">
            <v>1.3681667769027664E-4</v>
          </cell>
          <cell r="I804">
            <v>8.4183798420958271E-5</v>
          </cell>
        </row>
        <row r="805">
          <cell r="A805" t="str">
            <v>D-RSH2</v>
          </cell>
          <cell r="B805" t="str">
            <v>VAR_ncap</v>
          </cell>
          <cell r="C805" t="str">
            <v>-</v>
          </cell>
          <cell r="G805">
            <v>3.0297593808547101E-5</v>
          </cell>
          <cell r="H805">
            <v>6.4513831860337201E-7</v>
          </cell>
          <cell r="I805">
            <v>5.0154542439228098E-7</v>
          </cell>
        </row>
        <row r="806">
          <cell r="A806" t="str">
            <v>D-RSH2</v>
          </cell>
          <cell r="B806" t="str">
            <v>VAR_cap</v>
          </cell>
          <cell r="C806" t="str">
            <v>-</v>
          </cell>
          <cell r="G806">
            <v>3.0297593808547101E-5</v>
          </cell>
          <cell r="H806">
            <v>4.4992767746861601E-5</v>
          </cell>
          <cell r="I806">
            <v>4.5494313171253899E-5</v>
          </cell>
        </row>
        <row r="807">
          <cell r="A807" t="str">
            <v>RHES-SHNGABR</v>
          </cell>
          <cell r="B807" t="str">
            <v>VAR_fout</v>
          </cell>
          <cell r="C807" t="str">
            <v>CO2_R</v>
          </cell>
          <cell r="D807">
            <v>1043.13546442915</v>
          </cell>
          <cell r="E807">
            <v>1119.3165612743401</v>
          </cell>
          <cell r="F807">
            <v>645.63084670531498</v>
          </cell>
          <cell r="G807">
            <v>441.21902965272602</v>
          </cell>
          <cell r="H807">
            <v>133.47704319743301</v>
          </cell>
          <cell r="I807">
            <v>54.105609233354599</v>
          </cell>
        </row>
        <row r="808">
          <cell r="A808" t="str">
            <v>RHES-SHNGABR</v>
          </cell>
          <cell r="B808" t="str">
            <v>VAR_fout</v>
          </cell>
          <cell r="C808" t="str">
            <v>RHES-SHNGA</v>
          </cell>
          <cell r="D808">
            <v>17.570544170349088</v>
          </cell>
          <cell r="E808">
            <v>18.853736404443662</v>
          </cell>
          <cell r="F808">
            <v>10.501733100058507</v>
          </cell>
          <cell r="G808">
            <v>7.1768015913815582</v>
          </cell>
          <cell r="H808">
            <v>2.1711172720410814</v>
          </cell>
          <cell r="I808">
            <v>0.89512312223852242</v>
          </cell>
        </row>
        <row r="809">
          <cell r="A809" t="str">
            <v>RHES-SHNGABR</v>
          </cell>
          <cell r="B809" t="str">
            <v>VAR_fin</v>
          </cell>
          <cell r="C809" t="str">
            <v>RNGA</v>
          </cell>
          <cell r="D809">
            <v>18.49530965299903</v>
          </cell>
          <cell r="E809">
            <v>19.846038320466999</v>
          </cell>
          <cell r="F809">
            <v>11.447355438037516</v>
          </cell>
          <cell r="G809">
            <v>7.8230324406511835</v>
          </cell>
          <cell r="H809">
            <v>2.3666142410892315</v>
          </cell>
          <cell r="I809">
            <v>0.95931931264813253</v>
          </cell>
        </row>
        <row r="810">
          <cell r="A810" t="str">
            <v>RHES-SHNGABR</v>
          </cell>
          <cell r="B810" t="str">
            <v>VAR_ncap</v>
          </cell>
          <cell r="C810" t="str">
            <v>-</v>
          </cell>
          <cell r="E810">
            <v>0.101236293065565</v>
          </cell>
          <cell r="F810">
            <v>4.2866089778034199E-8</v>
          </cell>
          <cell r="G810">
            <v>9.6152816831656396E-8</v>
          </cell>
          <cell r="H810">
            <v>0.15791169695629001</v>
          </cell>
          <cell r="I810">
            <v>5.9590945199234702E-8</v>
          </cell>
        </row>
        <row r="811">
          <cell r="A811" t="str">
            <v>RHES-SHNGABR</v>
          </cell>
          <cell r="B811" t="str">
            <v>VAR_cap</v>
          </cell>
          <cell r="C811" t="str">
            <v>-</v>
          </cell>
          <cell r="D811">
            <v>1.4219190615860799</v>
          </cell>
          <cell r="E811">
            <v>1.5231553216800739</v>
          </cell>
          <cell r="F811">
            <v>1.2778609331965978</v>
          </cell>
          <cell r="G811">
            <v>1.2778441926777389</v>
          </cell>
          <cell r="H811">
            <v>0.17540924385991286</v>
          </cell>
          <cell r="I811">
            <v>0.10829446117032671</v>
          </cell>
        </row>
        <row r="812">
          <cell r="A812" t="str">
            <v>SCOM-SHLTHCHPHFC</v>
          </cell>
          <cell r="B812" t="str">
            <v>VAR_ncap</v>
          </cell>
          <cell r="C812" t="str">
            <v>-</v>
          </cell>
          <cell r="G812">
            <v>1.9927986677440801E-5</v>
          </cell>
          <cell r="H812">
            <v>9.6850446122446695E-4</v>
          </cell>
          <cell r="I812">
            <v>4.00148690921683E-4</v>
          </cell>
        </row>
        <row r="813">
          <cell r="A813" t="str">
            <v>SCOM-SHLTHCHPHFC</v>
          </cell>
          <cell r="B813" t="str">
            <v>VAR_cap</v>
          </cell>
          <cell r="C813" t="str">
            <v>-</v>
          </cell>
          <cell r="G813">
            <v>1.9927986677440801E-5</v>
          </cell>
          <cell r="H813">
            <v>9.8876472343034953E-4</v>
          </cell>
          <cell r="I813">
            <v>6.3065597171101692E-4</v>
          </cell>
        </row>
        <row r="814">
          <cell r="A814" t="str">
            <v>RHSA-WHNGABR</v>
          </cell>
          <cell r="B814" t="str">
            <v>VAR_fout</v>
          </cell>
          <cell r="C814" t="str">
            <v>RHSA-WHNGA</v>
          </cell>
          <cell r="D814">
            <v>6.3804573978075307</v>
          </cell>
          <cell r="E814">
            <v>5.5288347321269535</v>
          </cell>
          <cell r="F814">
            <v>5.2055657435603395</v>
          </cell>
          <cell r="G814">
            <v>3.2306480196672154</v>
          </cell>
          <cell r="H814">
            <v>1.1489572056852673</v>
          </cell>
          <cell r="I814">
            <v>0.45874306787087432</v>
          </cell>
        </row>
        <row r="815">
          <cell r="A815" t="str">
            <v>RHSA-WHNGABR</v>
          </cell>
          <cell r="B815" t="str">
            <v>VAR_fout</v>
          </cell>
          <cell r="C815" t="str">
            <v>CO2_R</v>
          </cell>
          <cell r="D815">
            <v>479.81039631512698</v>
          </cell>
          <cell r="E815">
            <v>413.56270410074302</v>
          </cell>
          <cell r="F815">
            <v>555.28468845648194</v>
          </cell>
          <cell r="G815">
            <v>330.430488548619</v>
          </cell>
          <cell r="H815">
            <v>116.735472959964</v>
          </cell>
          <cell r="I815">
            <v>46.608863002057603</v>
          </cell>
        </row>
        <row r="816">
          <cell r="A816" t="str">
            <v>RHSA-WHNGABR</v>
          </cell>
          <cell r="B816" t="str">
            <v>VAR_fin</v>
          </cell>
          <cell r="C816" t="str">
            <v>RNGA</v>
          </cell>
          <cell r="D816">
            <v>8.5072765304100475</v>
          </cell>
          <cell r="E816">
            <v>7.3326720585238112</v>
          </cell>
          <cell r="F816">
            <v>9.8454731995830223</v>
          </cell>
          <cell r="G816">
            <v>5.8586966054719687</v>
          </cell>
          <cell r="H816">
            <v>2.0697778893610703</v>
          </cell>
          <cell r="I816">
            <v>0.82639828017832628</v>
          </cell>
        </row>
        <row r="817">
          <cell r="A817" t="str">
            <v>RHSA-WHNGABR</v>
          </cell>
          <cell r="B817" t="str">
            <v>VAR_ncap</v>
          </cell>
          <cell r="C817" t="str">
            <v>-</v>
          </cell>
          <cell r="E817">
            <v>1.00416089572295E-7</v>
          </cell>
          <cell r="F817">
            <v>9.4721198532603605E-8</v>
          </cell>
          <cell r="G817">
            <v>1.49207983984644E-7</v>
          </cell>
          <cell r="H817">
            <v>2.4670204124152901E-2</v>
          </cell>
          <cell r="I817">
            <v>1.1714202595591401E-7</v>
          </cell>
        </row>
        <row r="818">
          <cell r="A818" t="str">
            <v>RHSA-WHNGABR</v>
          </cell>
          <cell r="B818" t="str">
            <v>VAR_cap</v>
          </cell>
          <cell r="C818" t="str">
            <v>-</v>
          </cell>
          <cell r="D818">
            <v>0.43610075802020798</v>
          </cell>
          <cell r="E818">
            <v>0.43027474901153667</v>
          </cell>
          <cell r="F818">
            <v>0.42994638772011434</v>
          </cell>
          <cell r="G818">
            <v>0.37171672496188513</v>
          </cell>
          <cell r="H818">
            <v>8.1885652964390238E-2</v>
          </cell>
          <cell r="I818">
            <v>4.2095181612488153E-2</v>
          </cell>
        </row>
        <row r="819">
          <cell r="A819" t="str">
            <v>ITOT-SWHWSTBR</v>
          </cell>
          <cell r="B819" t="str">
            <v>VAR_fout</v>
          </cell>
          <cell r="C819" t="str">
            <v>ITOT-SWH</v>
          </cell>
          <cell r="D819">
            <v>4.1173741317874102</v>
          </cell>
          <cell r="E819">
            <v>4.2663317015995368</v>
          </cell>
          <cell r="F819">
            <v>2.9611974635128653</v>
          </cell>
          <cell r="G819">
            <v>2.9281270615488753</v>
          </cell>
          <cell r="H819">
            <v>2.8796278594633189</v>
          </cell>
          <cell r="I819">
            <v>5.4190754080498489E-4</v>
          </cell>
        </row>
        <row r="820">
          <cell r="A820" t="str">
            <v>ITOT-SWHWSTBR</v>
          </cell>
          <cell r="B820" t="str">
            <v>VAR_fout</v>
          </cell>
          <cell r="C820" t="str">
            <v>CO2_I</v>
          </cell>
          <cell r="D820">
            <v>723.65969588990902</v>
          </cell>
          <cell r="E820">
            <v>749.84011725082701</v>
          </cell>
          <cell r="F820">
            <v>520.45288752650401</v>
          </cell>
          <cell r="G820">
            <v>514.64051384798302</v>
          </cell>
          <cell r="H820">
            <v>506.11641166325001</v>
          </cell>
          <cell r="I820">
            <v>9.2443051078497401E-2</v>
          </cell>
        </row>
        <row r="821">
          <cell r="A821" t="str">
            <v>ITOT-SWHWSTBR</v>
          </cell>
          <cell r="B821" t="str">
            <v>VAR_fin</v>
          </cell>
          <cell r="C821" t="str">
            <v>IWST</v>
          </cell>
          <cell r="D821">
            <v>7.7980570677791858</v>
          </cell>
          <cell r="E821">
            <v>8.0801736772718424</v>
          </cell>
          <cell r="F821">
            <v>5.6083285293804286</v>
          </cell>
          <cell r="G821">
            <v>5.5456951923274129</v>
          </cell>
          <cell r="H821">
            <v>5.4538406429229527</v>
          </cell>
          <cell r="I821">
            <v>9.9615356765622156E-4</v>
          </cell>
        </row>
        <row r="822">
          <cell r="A822" t="str">
            <v>ITOT-SWHWSTBR</v>
          </cell>
          <cell r="B822" t="str">
            <v>VAR_ncap</v>
          </cell>
          <cell r="C822" t="str">
            <v>-</v>
          </cell>
          <cell r="E822">
            <v>1.72364048673092E-6</v>
          </cell>
          <cell r="F822">
            <v>1.78707304552297E-6</v>
          </cell>
          <cell r="G822">
            <v>4.2540907735948398E-6</v>
          </cell>
          <cell r="H822">
            <v>3.9280808871139598E-2</v>
          </cell>
          <cell r="I822">
            <v>1.56476530887845E-6</v>
          </cell>
        </row>
        <row r="823">
          <cell r="A823" t="str">
            <v>ITOT-SWHWSTBR</v>
          </cell>
          <cell r="B823" t="str">
            <v>VAR_cap</v>
          </cell>
          <cell r="C823" t="str">
            <v>-</v>
          </cell>
          <cell r="D823">
            <v>0.35954682816669398</v>
          </cell>
          <cell r="E823">
            <v>0.26077245164371043</v>
          </cell>
          <cell r="F823">
            <v>0.25187718922795727</v>
          </cell>
          <cell r="G823">
            <v>0.19119843309000584</v>
          </cell>
          <cell r="H823">
            <v>0.16736558583258296</v>
          </cell>
          <cell r="I823">
            <v>5.0533129493698925E-5</v>
          </cell>
        </row>
        <row r="824">
          <cell r="A824" t="str">
            <v>SCOM-SHSTG-ELC</v>
          </cell>
          <cell r="B824" t="str">
            <v>VAR_fout</v>
          </cell>
          <cell r="C824" t="str">
            <v>SCOM-SHAELCB</v>
          </cell>
          <cell r="D824">
            <v>2.6161685956750646E-5</v>
          </cell>
          <cell r="E824">
            <v>7.5684427934610913E-5</v>
          </cell>
          <cell r="F824">
            <v>3.2673641289646457E-5</v>
          </cell>
          <cell r="G824">
            <v>2.5379932081758268E-5</v>
          </cell>
          <cell r="H824">
            <v>1.7099630182403009E-5</v>
          </cell>
          <cell r="I824">
            <v>4.7965890497389578E-6</v>
          </cell>
        </row>
        <row r="825">
          <cell r="A825" t="str">
            <v>SCOM-SHSTG-ELC</v>
          </cell>
          <cell r="B825" t="str">
            <v>VAR_fin</v>
          </cell>
          <cell r="C825" t="str">
            <v>SCOM-SHAELCB</v>
          </cell>
          <cell r="D825">
            <v>2.1829426844079278E-5</v>
          </cell>
          <cell r="E825">
            <v>9.6764801489384786E-5</v>
          </cell>
          <cell r="F825">
            <v>3.5309373346729078E-5</v>
          </cell>
          <cell r="G825">
            <v>3.022256794930458E-5</v>
          </cell>
          <cell r="H825">
            <v>1.8211547928533782E-5</v>
          </cell>
          <cell r="I825">
            <v>4.0236037186953302E-6</v>
          </cell>
        </row>
        <row r="826">
          <cell r="A826" t="str">
            <v>SCOM-SHSTG-ELC</v>
          </cell>
          <cell r="B826" t="str">
            <v>VAR_ncap</v>
          </cell>
          <cell r="C826" t="str">
            <v>-</v>
          </cell>
          <cell r="D826">
            <v>4.4514702095332301E-3</v>
          </cell>
          <cell r="E826">
            <v>5.6158538903143202E-3</v>
          </cell>
          <cell r="F826">
            <v>1.8141046830687699E-5</v>
          </cell>
          <cell r="G826">
            <v>1.17787028674914E-5</v>
          </cell>
          <cell r="H826">
            <v>4.9034718932878304E-3</v>
          </cell>
          <cell r="I826">
            <v>2.7740903974193401E-5</v>
          </cell>
        </row>
        <row r="827">
          <cell r="A827" t="str">
            <v>SCOM-SHSTG-ELC</v>
          </cell>
          <cell r="B827" t="str">
            <v>VAR_cap</v>
          </cell>
          <cell r="C827" t="str">
            <v>-</v>
          </cell>
          <cell r="D827">
            <v>4.4514702095332301E-3</v>
          </cell>
          <cell r="E827">
            <v>1.0035251973286988E-2</v>
          </cell>
          <cell r="F827">
            <v>1.0033705035021802E-2</v>
          </cell>
          <cell r="G827">
            <v>9.5129662566273837E-3</v>
          </cell>
          <cell r="H827">
            <v>7.4509998586572397E-3</v>
          </cell>
          <cell r="I827">
            <v>4.2149271944513945E-3</v>
          </cell>
        </row>
        <row r="828">
          <cell r="A828" t="str">
            <v>SCOM-SHNGABR</v>
          </cell>
          <cell r="B828" t="str">
            <v>VAR_fout</v>
          </cell>
          <cell r="C828" t="str">
            <v>CO2_S</v>
          </cell>
          <cell r="D828">
            <v>1440.9461823890599</v>
          </cell>
          <cell r="E828">
            <v>1508.6879039809801</v>
          </cell>
          <cell r="F828">
            <v>1272.77221740404</v>
          </cell>
          <cell r="G828">
            <v>845.56682036321195</v>
          </cell>
          <cell r="H828">
            <v>216.85100078782901</v>
          </cell>
          <cell r="I828">
            <v>67.250171621190304</v>
          </cell>
        </row>
        <row r="829">
          <cell r="A829" t="str">
            <v>SCOM-SHNGABR</v>
          </cell>
          <cell r="B829" t="str">
            <v>VAR_fout</v>
          </cell>
          <cell r="C829" t="str">
            <v>SCOM-SHNGA</v>
          </cell>
          <cell r="D829">
            <v>24.189718242158317</v>
          </cell>
          <cell r="E829">
            <v>25.326924599046958</v>
          </cell>
          <cell r="F829">
            <v>19.216132732339041</v>
          </cell>
          <cell r="G829">
            <v>12.93728588944184</v>
          </cell>
          <cell r="H829">
            <v>3.317849429568017</v>
          </cell>
          <cell r="I829">
            <v>1.0289366557732789</v>
          </cell>
        </row>
        <row r="830">
          <cell r="A830" t="str">
            <v>SCOM-SHNGABR</v>
          </cell>
          <cell r="B830" t="str">
            <v>VAR_fin</v>
          </cell>
          <cell r="C830" t="str">
            <v>SNGA</v>
          </cell>
          <cell r="D830">
            <v>25.548691177111014</v>
          </cell>
          <cell r="E830">
            <v>26.749785531577643</v>
          </cell>
          <cell r="F830">
            <v>22.566883287305657</v>
          </cell>
          <cell r="G830">
            <v>14.992319509986039</v>
          </cell>
          <cell r="H830">
            <v>3.8448759004934252</v>
          </cell>
          <cell r="I830">
            <v>1.1923789294537266</v>
          </cell>
        </row>
        <row r="831">
          <cell r="A831" t="str">
            <v>SCOM-SHNGABR</v>
          </cell>
          <cell r="B831" t="str">
            <v>VAR_ncap</v>
          </cell>
          <cell r="C831" t="str">
            <v>-</v>
          </cell>
          <cell r="D831">
            <v>9.33404515345395E-8</v>
          </cell>
          <cell r="E831">
            <v>3.0650342897425798E-7</v>
          </cell>
          <cell r="F831">
            <v>2.31367810018775E-7</v>
          </cell>
          <cell r="G831">
            <v>4.6788472019580601E-7</v>
          </cell>
          <cell r="H831">
            <v>2.3107756521381199E-6</v>
          </cell>
          <cell r="I831">
            <v>3.4108645055447998E-7</v>
          </cell>
        </row>
        <row r="832">
          <cell r="A832" t="str">
            <v>SCOM-SHNGABR</v>
          </cell>
          <cell r="B832" t="str">
            <v>VAR_cap</v>
          </cell>
          <cell r="C832" t="str">
            <v>-</v>
          </cell>
          <cell r="D832">
            <v>2.7746815912156713</v>
          </cell>
          <cell r="E832">
            <v>2.7746245988538241</v>
          </cell>
          <cell r="F832">
            <v>2.2032733065378656</v>
          </cell>
          <cell r="G832">
            <v>2.2032484428160117</v>
          </cell>
          <cell r="H832">
            <v>0.33957177872098582</v>
          </cell>
          <cell r="I832">
            <v>0.14363596409057564</v>
          </cell>
        </row>
        <row r="833">
          <cell r="A833" t="str">
            <v>RHEM-SHELCHP</v>
          </cell>
          <cell r="B833" t="str">
            <v>VAR_fout</v>
          </cell>
          <cell r="C833" t="str">
            <v>RHEM-SHAELCH</v>
          </cell>
          <cell r="D833">
            <v>9.9025484394949643</v>
          </cell>
          <cell r="E833">
            <v>11.655212373418365</v>
          </cell>
          <cell r="F833">
            <v>10.448965490529201</v>
          </cell>
          <cell r="G833">
            <v>19.619682632442888</v>
          </cell>
          <cell r="H833">
            <v>28.584245044276297</v>
          </cell>
          <cell r="I833">
            <v>27.902152348986718</v>
          </cell>
        </row>
        <row r="834">
          <cell r="A834" t="str">
            <v>RHEM-SHELCHP</v>
          </cell>
          <cell r="B834" t="str">
            <v>VAR_fin</v>
          </cell>
          <cell r="C834" t="str">
            <v>RHEMELCHPC</v>
          </cell>
          <cell r="D834">
            <v>9.9025484394949643</v>
          </cell>
          <cell r="E834">
            <v>11.655212373418365</v>
          </cell>
          <cell r="F834">
            <v>10.448965490529201</v>
          </cell>
          <cell r="G834">
            <v>19.619682632442888</v>
          </cell>
          <cell r="H834">
            <v>28.584245044276297</v>
          </cell>
          <cell r="I834">
            <v>27.902152348986718</v>
          </cell>
        </row>
        <row r="835">
          <cell r="A835" t="str">
            <v>RHEM-SHELCHP</v>
          </cell>
          <cell r="B835" t="str">
            <v>VAR_fin</v>
          </cell>
          <cell r="C835" t="str">
            <v>RHEM_ELC</v>
          </cell>
          <cell r="D835">
            <v>3.0945463873421737</v>
          </cell>
          <cell r="E835">
            <v>3.5825447869113889</v>
          </cell>
          <cell r="F835">
            <v>3.3534352183470268</v>
          </cell>
          <cell r="G835">
            <v>5.6094246531882526</v>
          </cell>
          <cell r="H835">
            <v>7.3873162529586924</v>
          </cell>
          <cell r="I835">
            <v>6.6889251248515205</v>
          </cell>
        </row>
        <row r="836">
          <cell r="A836" t="str">
            <v>RHEM-SHELCHP</v>
          </cell>
          <cell r="B836" t="str">
            <v>VAR_ncap</v>
          </cell>
          <cell r="C836" t="str">
            <v>-</v>
          </cell>
          <cell r="D836">
            <v>3.4894423818198801E-7</v>
          </cell>
          <cell r="E836">
            <v>0.12376219714589699</v>
          </cell>
          <cell r="F836">
            <v>1.47877235097246E-7</v>
          </cell>
          <cell r="G836">
            <v>0.56241014491730001</v>
          </cell>
          <cell r="H836">
            <v>0.77620506424566005</v>
          </cell>
          <cell r="I836">
            <v>1.0371241953354</v>
          </cell>
        </row>
        <row r="837">
          <cell r="A837" t="str">
            <v>RHEM-SHELCHP</v>
          </cell>
          <cell r="B837" t="str">
            <v>VAR_cap</v>
          </cell>
          <cell r="C837" t="str">
            <v>-</v>
          </cell>
          <cell r="D837">
            <v>0.69925229933623723</v>
          </cell>
          <cell r="E837">
            <v>0.8230144667318704</v>
          </cell>
          <cell r="F837">
            <v>0.82301356544292259</v>
          </cell>
          <cell r="G837">
            <v>1.3854245234700002</v>
          </cell>
          <cell r="H837">
            <v>2.034746800693525</v>
          </cell>
          <cell r="I837">
            <v>1.970318601803156</v>
          </cell>
        </row>
        <row r="838">
          <cell r="A838" t="str">
            <v>RHNM-SHSTG-ELC</v>
          </cell>
          <cell r="B838" t="str">
            <v>VAR_fout</v>
          </cell>
          <cell r="C838" t="str">
            <v>RHNM-SHAELCB</v>
          </cell>
          <cell r="E838">
            <v>1.6889184283451274E-6</v>
          </cell>
          <cell r="F838">
            <v>1.3959456275349072E-4</v>
          </cell>
          <cell r="G838">
            <v>4.228188000374524E-4</v>
          </cell>
          <cell r="H838">
            <v>2.2315332144425871E-4</v>
          </cell>
          <cell r="I838">
            <v>3.4571963398496563E-4</v>
          </cell>
        </row>
        <row r="839">
          <cell r="A839" t="str">
            <v>RHNM-SHSTG-ELC</v>
          </cell>
          <cell r="B839" t="str">
            <v>VAR_fin</v>
          </cell>
          <cell r="C839" t="str">
            <v>RHNM-SHAELCB</v>
          </cell>
          <cell r="E839">
            <v>1.2646949281633204E-6</v>
          </cell>
          <cell r="F839">
            <v>1.3619900173261572E-4</v>
          </cell>
          <cell r="G839">
            <v>4.1970079072315211E-4</v>
          </cell>
          <cell r="H839">
            <v>2.2188432374874493E-4</v>
          </cell>
          <cell r="I839">
            <v>3.4613821419950092E-4</v>
          </cell>
        </row>
        <row r="840">
          <cell r="A840" t="str">
            <v>RHNM-SHSTG-ELC</v>
          </cell>
          <cell r="B840" t="str">
            <v>VAR_ncap</v>
          </cell>
          <cell r="C840" t="str">
            <v>-</v>
          </cell>
          <cell r="D840">
            <v>9.8865563619996401E-5</v>
          </cell>
          <cell r="E840">
            <v>2.7017873603741899E-3</v>
          </cell>
          <cell r="F840">
            <v>2.8858524627961202E-5</v>
          </cell>
          <cell r="G840">
            <v>2.41117481973649E-5</v>
          </cell>
          <cell r="H840">
            <v>2.2187153846954402E-5</v>
          </cell>
          <cell r="I840">
            <v>1.9255450237073401E-5</v>
          </cell>
        </row>
        <row r="841">
          <cell r="A841" t="str">
            <v>RHNM-SHSTG-ELC</v>
          </cell>
          <cell r="B841" t="str">
            <v>VAR_cap</v>
          </cell>
          <cell r="C841" t="str">
            <v>-</v>
          </cell>
          <cell r="D841">
            <v>9.8865563619996401E-5</v>
          </cell>
          <cell r="E841">
            <v>2.7967999570687433E-3</v>
          </cell>
          <cell r="F841">
            <v>1.4256306143580401E-3</v>
          </cell>
          <cell r="G841">
            <v>1.0195147262119799E-3</v>
          </cell>
          <cell r="H841">
            <v>2.2329646895531089E-4</v>
          </cell>
          <cell r="I841">
            <v>9.4765235763359917E-5</v>
          </cell>
        </row>
        <row r="842">
          <cell r="A842" t="str">
            <v>D-RWOD</v>
          </cell>
          <cell r="B842" t="str">
            <v>VAR_fout</v>
          </cell>
          <cell r="C842" t="str">
            <v>RWOD</v>
          </cell>
          <cell r="D842">
            <v>13.723018843470076</v>
          </cell>
          <cell r="E842">
            <v>13.850754902216549</v>
          </cell>
          <cell r="F842">
            <v>18.514275103191881</v>
          </cell>
          <cell r="G842">
            <v>16.504454184346084</v>
          </cell>
          <cell r="H842">
            <v>13.570855748615287</v>
          </cell>
          <cell r="I842">
            <v>8.5452882846605824</v>
          </cell>
        </row>
        <row r="843">
          <cell r="A843" t="str">
            <v>D-RWOD</v>
          </cell>
          <cell r="B843" t="str">
            <v>VAR_fin</v>
          </cell>
          <cell r="C843" t="str">
            <v>WOD</v>
          </cell>
          <cell r="D843">
            <v>13.723018843470076</v>
          </cell>
          <cell r="E843">
            <v>13.850754902216549</v>
          </cell>
          <cell r="F843">
            <v>18.514275103191881</v>
          </cell>
          <cell r="G843">
            <v>16.504454184346084</v>
          </cell>
          <cell r="H843">
            <v>13.570855748615287</v>
          </cell>
          <cell r="I843">
            <v>8.5452882846605824</v>
          </cell>
        </row>
        <row r="844">
          <cell r="A844" t="str">
            <v>RHNS-SHLTHCHPWOD</v>
          </cell>
          <cell r="B844" t="str">
            <v>VAR_ncap</v>
          </cell>
          <cell r="C844" t="str">
            <v>-</v>
          </cell>
          <cell r="G844">
            <v>6.9720763054506195E-5</v>
          </cell>
          <cell r="H844">
            <v>1.19469568756925E-4</v>
          </cell>
          <cell r="I844">
            <v>4.33484395191428E-5</v>
          </cell>
        </row>
        <row r="845">
          <cell r="A845" t="str">
            <v>RHNS-SHLTHCHPWOD</v>
          </cell>
          <cell r="B845" t="str">
            <v>VAR_cap</v>
          </cell>
          <cell r="C845" t="str">
            <v>-</v>
          </cell>
          <cell r="G845">
            <v>6.9720763054506195E-5</v>
          </cell>
          <cell r="H845">
            <v>1.833070173150833E-4</v>
          </cell>
          <cell r="I845">
            <v>7.8493141093605612E-5</v>
          </cell>
        </row>
        <row r="846">
          <cell r="A846" t="str">
            <v>RHNM-SHELCBR</v>
          </cell>
          <cell r="B846" t="str">
            <v>VAR_fout</v>
          </cell>
          <cell r="C846" t="str">
            <v>RHNM-SHAELCB</v>
          </cell>
          <cell r="E846">
            <v>0.15439163661444319</v>
          </cell>
          <cell r="F846">
            <v>7.586413745071061E-4</v>
          </cell>
          <cell r="G846">
            <v>1.4388802458015918E-3</v>
          </cell>
          <cell r="H846">
            <v>1.7065077681626456E-3</v>
          </cell>
          <cell r="I846">
            <v>1.5175252500159424E-3</v>
          </cell>
        </row>
        <row r="847">
          <cell r="A847" t="str">
            <v>RHNM-SHELCBR</v>
          </cell>
          <cell r="B847" t="str">
            <v>VAR_fin</v>
          </cell>
          <cell r="C847" t="str">
            <v>RHNM_ELC</v>
          </cell>
          <cell r="E847">
            <v>0.16251751222572966</v>
          </cell>
          <cell r="F847">
            <v>7.9856986790221662E-4</v>
          </cell>
          <cell r="G847">
            <v>1.5146107850543067E-3</v>
          </cell>
          <cell r="H847">
            <v>1.7963239664869962E-3</v>
          </cell>
          <cell r="I847">
            <v>1.5973950000167838E-3</v>
          </cell>
        </row>
        <row r="848">
          <cell r="A848" t="str">
            <v>RHNM-SHELCBR</v>
          </cell>
          <cell r="B848" t="str">
            <v>VAR_ncap</v>
          </cell>
          <cell r="C848" t="str">
            <v>-</v>
          </cell>
          <cell r="E848">
            <v>1.2046330150235001E-2</v>
          </cell>
        </row>
        <row r="849">
          <cell r="A849" t="str">
            <v>RHNM-SHELCBR</v>
          </cell>
          <cell r="B849" t="str">
            <v>VAR_cap</v>
          </cell>
          <cell r="C849" t="str">
            <v>-</v>
          </cell>
          <cell r="E849">
            <v>1.2046330150235001E-2</v>
          </cell>
          <cell r="F849">
            <v>6.0568232778831204E-3</v>
          </cell>
          <cell r="G849">
            <v>4.3307934682178806E-3</v>
          </cell>
          <cell r="H849">
            <v>9.500890392760389E-4</v>
          </cell>
          <cell r="I849">
            <v>4.0155450175303049E-4</v>
          </cell>
        </row>
        <row r="850">
          <cell r="A850" t="str">
            <v>RHNS-SHSTG-NGAHP</v>
          </cell>
          <cell r="B850" t="str">
            <v>VAR_fout</v>
          </cell>
          <cell r="C850" t="str">
            <v>RHNS-SHANGAH</v>
          </cell>
          <cell r="F850">
            <v>8.9711857973657268E-3</v>
          </cell>
          <cell r="G850">
            <v>2.4924224684892433E-2</v>
          </cell>
          <cell r="H850">
            <v>6.1416559724107637E-2</v>
          </cell>
          <cell r="I850">
            <v>5.8116901825535125E-2</v>
          </cell>
        </row>
        <row r="851">
          <cell r="A851" t="str">
            <v>RHNS-SHSTG-NGAHP</v>
          </cell>
          <cell r="B851" t="str">
            <v>VAR_fin</v>
          </cell>
          <cell r="C851" t="str">
            <v>RHNS-SHANGAH</v>
          </cell>
          <cell r="F851">
            <v>9.0004233305777566E-3</v>
          </cell>
          <cell r="G851">
            <v>2.4954028366515078E-2</v>
          </cell>
          <cell r="H851">
            <v>6.1439024666146418E-2</v>
          </cell>
          <cell r="I851">
            <v>5.8141642643680297E-2</v>
          </cell>
        </row>
        <row r="852">
          <cell r="A852" t="str">
            <v>RHNS-SHSTG-NGAHP</v>
          </cell>
          <cell r="B852" t="str">
            <v>VAR_ncap</v>
          </cell>
          <cell r="C852" t="str">
            <v>-</v>
          </cell>
          <cell r="D852">
            <v>3.9791255549891497E-6</v>
          </cell>
          <cell r="E852">
            <v>5.6122215862772402E-6</v>
          </cell>
          <cell r="F852">
            <v>2.4117852486657699E-3</v>
          </cell>
          <cell r="G852">
            <v>4.3127195559406004E-3</v>
          </cell>
          <cell r="H852">
            <v>5.6519625898600297E-3</v>
          </cell>
          <cell r="I852">
            <v>8.6747817612721507E-3</v>
          </cell>
        </row>
        <row r="853">
          <cell r="A853" t="str">
            <v>RHNS-SHSTG-NGAHP</v>
          </cell>
          <cell r="B853" t="str">
            <v>VAR_cap</v>
          </cell>
          <cell r="C853" t="str">
            <v>-</v>
          </cell>
          <cell r="D853">
            <v>3.9791255549891497E-6</v>
          </cell>
          <cell r="E853">
            <v>5.3282472465565148E-7</v>
          </cell>
          <cell r="F853">
            <v>2.4096767032846128E-3</v>
          </cell>
          <cell r="G853">
            <v>6.7192286415136198E-3</v>
          </cell>
          <cell r="H853">
            <v>1.176516514725605E-2</v>
          </cell>
          <cell r="I853">
            <v>1.3929177239381998E-2</v>
          </cell>
        </row>
        <row r="854">
          <cell r="A854" t="str">
            <v>RHNS-SHLTHDH</v>
          </cell>
          <cell r="B854" t="str">
            <v>VAR_fout</v>
          </cell>
          <cell r="C854" t="str">
            <v>RHNS-SHLTHD</v>
          </cell>
          <cell r="E854">
            <v>5.3921201626537622E-2</v>
          </cell>
          <cell r="F854">
            <v>2.7876522631865666E-3</v>
          </cell>
          <cell r="G854">
            <v>0.1024922978820413</v>
          </cell>
          <cell r="H854">
            <v>0.11156846373098395</v>
          </cell>
          <cell r="I854">
            <v>0.12142466605131898</v>
          </cell>
        </row>
        <row r="855">
          <cell r="A855" t="str">
            <v>RHNS-SHLTHDH</v>
          </cell>
          <cell r="B855" t="str">
            <v>VAR_fin</v>
          </cell>
          <cell r="C855" t="str">
            <v>RHNS_LTH_DH</v>
          </cell>
          <cell r="E855">
            <v>5.4465860228825838E-2</v>
          </cell>
          <cell r="F855">
            <v>3.0832989881449972E-3</v>
          </cell>
          <cell r="G855">
            <v>0.11272561431489533</v>
          </cell>
          <cell r="H855">
            <v>0.12263970040745209</v>
          </cell>
          <cell r="I855">
            <v>0.13347396001181211</v>
          </cell>
        </row>
        <row r="856">
          <cell r="A856" t="str">
            <v>RHNS-SHLTHDH</v>
          </cell>
          <cell r="B856" t="str">
            <v>VAR_fin</v>
          </cell>
          <cell r="C856" t="str">
            <v>RHNSLTHDHC</v>
          </cell>
          <cell r="E856">
            <v>5.3921201626537622E-2</v>
          </cell>
          <cell r="F856">
            <v>2.7876522631865666E-3</v>
          </cell>
          <cell r="G856">
            <v>0.1024922978820413</v>
          </cell>
          <cell r="H856">
            <v>0.11156846373098395</v>
          </cell>
          <cell r="I856">
            <v>0.12142466605131898</v>
          </cell>
        </row>
        <row r="857">
          <cell r="A857" t="str">
            <v>RHNS-SHLTHDH</v>
          </cell>
          <cell r="B857" t="str">
            <v>VAR_ncap</v>
          </cell>
          <cell r="C857" t="str">
            <v>-</v>
          </cell>
          <cell r="E857">
            <v>5.5096488539409403E-3</v>
          </cell>
          <cell r="F857">
            <v>2.6629200231554902E-3</v>
          </cell>
          <cell r="G857">
            <v>1.06754652724609E-2</v>
          </cell>
          <cell r="H857">
            <v>5.9209203426766402E-3</v>
          </cell>
          <cell r="I857">
            <v>5.8764017818955299E-3</v>
          </cell>
        </row>
        <row r="858">
          <cell r="A858" t="str">
            <v>RHNS-SHLTHDH</v>
          </cell>
          <cell r="B858" t="str">
            <v>VAR_cap</v>
          </cell>
          <cell r="C858" t="str">
            <v>-</v>
          </cell>
          <cell r="E858">
            <v>5.5096488539409403E-3</v>
          </cell>
          <cell r="F858">
            <v>3.8480193867044101E-3</v>
          </cell>
          <cell r="G858">
            <v>1.301028341900945E-2</v>
          </cell>
          <cell r="H858">
            <v>1.61135525285219E-2</v>
          </cell>
          <cell r="I858">
            <v>1.5419790113348E-2</v>
          </cell>
        </row>
        <row r="859">
          <cell r="A859" t="str">
            <v>ITOT-SWHNGAHP</v>
          </cell>
          <cell r="B859" t="str">
            <v>VAR_fout</v>
          </cell>
          <cell r="C859" t="str">
            <v>ITOT-SWHANGAH</v>
          </cell>
          <cell r="F859">
            <v>9.1795676607248095E-3</v>
          </cell>
          <cell r="G859">
            <v>9.7237424967246012E-3</v>
          </cell>
          <cell r="H859">
            <v>1.0074904825540094E-2</v>
          </cell>
          <cell r="I859">
            <v>1.0080173367092847E-2</v>
          </cell>
        </row>
        <row r="860">
          <cell r="A860" t="str">
            <v>ITOT-SWHNGAHP</v>
          </cell>
          <cell r="B860" t="str">
            <v>VAR_fout</v>
          </cell>
          <cell r="C860" t="str">
            <v>CO2_I</v>
          </cell>
          <cell r="F860">
            <v>0.27459478704144802</v>
          </cell>
          <cell r="G860">
            <v>0.28529911577716599</v>
          </cell>
          <cell r="H860">
            <v>0.28469139541952898</v>
          </cell>
          <cell r="I860">
            <v>0.27470078442658902</v>
          </cell>
        </row>
        <row r="861">
          <cell r="A861" t="str">
            <v>ITOT-SWHNGAHP</v>
          </cell>
          <cell r="B861" t="str">
            <v>VAR_fin</v>
          </cell>
          <cell r="C861" t="str">
            <v>ITOTELCHPC</v>
          </cell>
          <cell r="F861">
            <v>9.1795676607248095E-3</v>
          </cell>
          <cell r="G861">
            <v>9.7237424967246012E-3</v>
          </cell>
          <cell r="H861">
            <v>1.0074904825540094E-2</v>
          </cell>
          <cell r="I861">
            <v>1.0080173367092847E-2</v>
          </cell>
        </row>
        <row r="862">
          <cell r="A862" t="str">
            <v>ITOT-SWHNGAHP</v>
          </cell>
          <cell r="B862" t="str">
            <v>VAR_fin</v>
          </cell>
          <cell r="C862" t="str">
            <v>INGA</v>
          </cell>
          <cell r="F862">
            <v>4.8687018978980151E-3</v>
          </cell>
          <cell r="G862">
            <v>5.0584949605880624E-3</v>
          </cell>
          <cell r="H862">
            <v>5.0477197769420012E-3</v>
          </cell>
          <cell r="I862">
            <v>4.8705812841593858E-3</v>
          </cell>
        </row>
        <row r="863">
          <cell r="A863" t="str">
            <v>ITOT-SWHNGAHP</v>
          </cell>
          <cell r="B863" t="str">
            <v>VAR_ncap</v>
          </cell>
          <cell r="C863" t="str">
            <v>-</v>
          </cell>
          <cell r="E863">
            <v>5.9615339158632704E-4</v>
          </cell>
          <cell r="F863">
            <v>1.26228336901124E-6</v>
          </cell>
          <cell r="G863">
            <v>1.7275100338802001E-6</v>
          </cell>
          <cell r="H863">
            <v>2.9459263570100398E-4</v>
          </cell>
          <cell r="I863">
            <v>2.36384088171618E-4</v>
          </cell>
        </row>
        <row r="864">
          <cell r="A864" t="str">
            <v>ITOT-SWHNGAHP</v>
          </cell>
          <cell r="B864" t="str">
            <v>VAR_cap</v>
          </cell>
          <cell r="C864" t="str">
            <v>-</v>
          </cell>
          <cell r="E864">
            <v>5.9615339158632704E-4</v>
          </cell>
          <cell r="F864">
            <v>5.9700846985664253E-4</v>
          </cell>
          <cell r="G864">
            <v>5.9834171347215945E-4</v>
          </cell>
          <cell r="H864">
            <v>6.4732366226748217E-4</v>
          </cell>
          <cell r="I864">
            <v>5.9841286776479024E-4</v>
          </cell>
        </row>
        <row r="865">
          <cell r="A865" t="str">
            <v>RHSA-WHLFOBR</v>
          </cell>
          <cell r="B865" t="str">
            <v>VAR_fout</v>
          </cell>
          <cell r="C865" t="str">
            <v>CO2_R</v>
          </cell>
          <cell r="D865">
            <v>726.71297377365204</v>
          </cell>
          <cell r="E865">
            <v>572.91956498328204</v>
          </cell>
          <cell r="F865">
            <v>644.91703924805302</v>
          </cell>
          <cell r="G865">
            <v>264.70846302406699</v>
          </cell>
          <cell r="H865">
            <v>74.946218788575294</v>
          </cell>
          <cell r="I865">
            <v>1.6240770753215601</v>
          </cell>
        </row>
        <row r="866">
          <cell r="A866" t="str">
            <v>RHSA-WHLFOBR</v>
          </cell>
          <cell r="B866" t="str">
            <v>VAR_fout</v>
          </cell>
          <cell r="C866" t="str">
            <v>RHSA-WHLFO</v>
          </cell>
          <cell r="D866">
            <v>6.9844643567119427</v>
          </cell>
          <cell r="E866">
            <v>5.5549358545133938</v>
          </cell>
          <cell r="F866">
            <v>4.3868208473985222</v>
          </cell>
          <cell r="G866">
            <v>1.9237938296975432</v>
          </cell>
          <cell r="H866">
            <v>0.5642459263373103</v>
          </cell>
          <cell r="I866">
            <v>1.293670417045693E-2</v>
          </cell>
        </row>
        <row r="867">
          <cell r="A867" t="str">
            <v>RHSA-WHLFOBR</v>
          </cell>
          <cell r="B867" t="str">
            <v>VAR_fin</v>
          </cell>
          <cell r="C867" t="str">
            <v>RLFO</v>
          </cell>
          <cell r="D867">
            <v>9.8604202682992046</v>
          </cell>
          <cell r="E867">
            <v>7.7736711666659826</v>
          </cell>
          <cell r="F867">
            <v>8.7505704104213518</v>
          </cell>
          <cell r="G867">
            <v>3.5917023476806871</v>
          </cell>
          <cell r="H867">
            <v>1.0169093458422698</v>
          </cell>
          <cell r="I867">
            <v>2.2036323952802722E-2</v>
          </cell>
        </row>
        <row r="868">
          <cell r="A868" t="str">
            <v>RHSA-WHLFOBR</v>
          </cell>
          <cell r="B868" t="str">
            <v>VAR_ncap</v>
          </cell>
          <cell r="C868" t="str">
            <v>-</v>
          </cell>
          <cell r="E868">
            <v>7.4968909448309302E-8</v>
          </cell>
          <cell r="F868">
            <v>5.0729901091762603E-8</v>
          </cell>
          <cell r="G868">
            <v>1.03847842352676E-7</v>
          </cell>
          <cell r="H868">
            <v>6.1394695356808103E-3</v>
          </cell>
        </row>
        <row r="869">
          <cell r="A869" t="str">
            <v>RHSA-WHLFOBR</v>
          </cell>
          <cell r="B869" t="str">
            <v>VAR_cap</v>
          </cell>
          <cell r="C869" t="str">
            <v>-</v>
          </cell>
          <cell r="D869">
            <v>0.47738433216181703</v>
          </cell>
          <cell r="E869">
            <v>0.4773783251041267</v>
          </cell>
          <cell r="F869">
            <v>0.31962428943559656</v>
          </cell>
          <cell r="G869">
            <v>0.21310041239003391</v>
          </cell>
          <cell r="H869">
            <v>3.8571286056067515E-2</v>
          </cell>
          <cell r="I869">
            <v>1.285542484609499E-3</v>
          </cell>
        </row>
        <row r="870">
          <cell r="A870" t="str">
            <v>D-IWST</v>
          </cell>
          <cell r="B870" t="str">
            <v>VAR_fout</v>
          </cell>
          <cell r="C870" t="str">
            <v>CO2</v>
          </cell>
          <cell r="D870">
            <v>1068.1312673499599</v>
          </cell>
          <cell r="E870">
            <v>1094.48255995865</v>
          </cell>
          <cell r="F870">
            <v>1024.6415853025201</v>
          </cell>
          <cell r="G870">
            <v>1013.19803561755</v>
          </cell>
          <cell r="H870">
            <v>996.69849320676303</v>
          </cell>
          <cell r="I870">
            <v>986.58543516564896</v>
          </cell>
        </row>
        <row r="871">
          <cell r="A871" t="str">
            <v>D-IWST</v>
          </cell>
          <cell r="B871" t="str">
            <v>VAR_fout</v>
          </cell>
          <cell r="C871" t="str">
            <v>IWST</v>
          </cell>
          <cell r="D871">
            <v>11.51003520851248</v>
          </cell>
          <cell r="E871">
            <v>11.793993103002695</v>
          </cell>
          <cell r="F871">
            <v>11.041396393346162</v>
          </cell>
          <cell r="G871">
            <v>10.91808228036154</v>
          </cell>
          <cell r="H871">
            <v>10.740285487141842</v>
          </cell>
          <cell r="I871">
            <v>10.631308568595363</v>
          </cell>
        </row>
        <row r="872">
          <cell r="A872" t="str">
            <v>D-IWST</v>
          </cell>
          <cell r="B872" t="str">
            <v>VAR_fin</v>
          </cell>
          <cell r="C872" t="str">
            <v>WSTNREN</v>
          </cell>
          <cell r="D872">
            <v>11.51003520851248</v>
          </cell>
          <cell r="E872">
            <v>11.793993103002695</v>
          </cell>
          <cell r="F872">
            <v>11.041396393346162</v>
          </cell>
          <cell r="G872">
            <v>10.91808228036154</v>
          </cell>
          <cell r="H872">
            <v>10.740285487141842</v>
          </cell>
          <cell r="I872">
            <v>10.631308568595363</v>
          </cell>
        </row>
        <row r="873">
          <cell r="A873" t="str">
            <v>RHES-SHLFOBR</v>
          </cell>
          <cell r="B873" t="str">
            <v>VAR_fout</v>
          </cell>
          <cell r="C873" t="str">
            <v>CO2_R</v>
          </cell>
          <cell r="D873">
            <v>1783.6636643998299</v>
          </cell>
          <cell r="E873">
            <v>1640.96986807907</v>
          </cell>
          <cell r="F873">
            <v>1209.4455733928401</v>
          </cell>
          <cell r="G873">
            <v>553.95875724029997</v>
          </cell>
          <cell r="H873">
            <v>94.191826857546403</v>
          </cell>
          <cell r="I873">
            <v>4.0338148261116897</v>
          </cell>
        </row>
        <row r="874">
          <cell r="A874" t="str">
            <v>RHES-SHLFOBR</v>
          </cell>
          <cell r="B874" t="str">
            <v>VAR_fout</v>
          </cell>
          <cell r="C874" t="str">
            <v>RHES-SHLFO</v>
          </cell>
          <cell r="D874">
            <v>21.680669823946374</v>
          </cell>
          <cell r="E874">
            <v>19.946207690920396</v>
          </cell>
          <cell r="F874">
            <v>13.943711617623119</v>
          </cell>
          <cell r="G874">
            <v>6.4951569545675722</v>
          </cell>
          <cell r="H874">
            <v>1.1018661381442547</v>
          </cell>
          <cell r="I874">
            <v>4.7448866113445502E-2</v>
          </cell>
        </row>
        <row r="875">
          <cell r="A875" t="str">
            <v>RHES-SHLFOBR</v>
          </cell>
          <cell r="B875" t="str">
            <v>VAR_fin</v>
          </cell>
          <cell r="C875" t="str">
            <v>RLFO</v>
          </cell>
          <cell r="D875">
            <v>24.201677943009884</v>
          </cell>
          <cell r="E875">
            <v>22.265534166608813</v>
          </cell>
          <cell r="F875">
            <v>16.41038769868171</v>
          </cell>
          <cell r="G875">
            <v>7.5164010480366317</v>
          </cell>
          <cell r="H875">
            <v>1.278043783684482</v>
          </cell>
          <cell r="I875">
            <v>5.4732901304093459E-2</v>
          </cell>
        </row>
        <row r="876">
          <cell r="A876" t="str">
            <v>RHES-SHLFOBR</v>
          </cell>
          <cell r="B876" t="str">
            <v>VAR_ncap</v>
          </cell>
          <cell r="C876" t="str">
            <v>-</v>
          </cell>
          <cell r="E876">
            <v>3.8978712748700398E-8</v>
          </cell>
          <cell r="F876">
            <v>3.7178839501837703E-8</v>
          </cell>
          <cell r="G876">
            <v>6.6584149735527194E-8</v>
          </cell>
          <cell r="H876">
            <v>8.9007283173990107E-2</v>
          </cell>
          <cell r="I876">
            <v>4.0080818103673301E-8</v>
          </cell>
        </row>
        <row r="877">
          <cell r="A877" t="str">
            <v>RHES-SHLFOBR</v>
          </cell>
          <cell r="B877" t="str">
            <v>VAR_cap</v>
          </cell>
          <cell r="C877" t="str">
            <v>-</v>
          </cell>
          <cell r="D877">
            <v>1.7515307393373001</v>
          </cell>
          <cell r="E877">
            <v>1.744831669459606</v>
          </cell>
          <cell r="F877">
            <v>1.1616613659607204</v>
          </cell>
          <cell r="G877">
            <v>1.1616081836601191</v>
          </cell>
          <cell r="H877">
            <v>8.9023911705791603E-2</v>
          </cell>
          <cell r="I877">
            <v>5.9784666977227979E-3</v>
          </cell>
        </row>
        <row r="878">
          <cell r="A878" t="str">
            <v>ITOT-SWHSTG</v>
          </cell>
          <cell r="B878" t="str">
            <v>VAR_fout</v>
          </cell>
          <cell r="C878" t="str">
            <v>ITOT-SWH</v>
          </cell>
          <cell r="D878">
            <v>1.2149577084588888E-5</v>
          </cell>
          <cell r="E878">
            <v>1.5254233614037286E-4</v>
          </cell>
          <cell r="F878">
            <v>1.872736091258583E-3</v>
          </cell>
          <cell r="G878">
            <v>5.3563458946917681E-4</v>
          </cell>
          <cell r="H878">
            <v>4.5760215796534229E-3</v>
          </cell>
          <cell r="I878">
            <v>0.90393715197344227</v>
          </cell>
        </row>
        <row r="879">
          <cell r="A879" t="str">
            <v>ITOT-SWHSTG</v>
          </cell>
          <cell r="B879" t="str">
            <v>VAR_fout</v>
          </cell>
          <cell r="C879" t="str">
            <v>AUX_ITOT-STG_OUT</v>
          </cell>
          <cell r="D879">
            <v>1.2149577084588867E-5</v>
          </cell>
          <cell r="E879">
            <v>1.5241775457852048E-4</v>
          </cell>
          <cell r="F879">
            <v>1.870347397264631E-3</v>
          </cell>
          <cell r="G879">
            <v>5.3563458946917746E-4</v>
          </cell>
          <cell r="H879">
            <v>4.5760215796534272E-3</v>
          </cell>
          <cell r="I879">
            <v>0.90393715197344227</v>
          </cell>
        </row>
        <row r="880">
          <cell r="A880" t="str">
            <v>ITOT-SWHSTG</v>
          </cell>
          <cell r="B880" t="str">
            <v>VAR_fin</v>
          </cell>
          <cell r="C880" t="str">
            <v>AUX_ITOT-STG_IN</v>
          </cell>
          <cell r="D880">
            <v>1.4997732208403454E-5</v>
          </cell>
          <cell r="E880">
            <v>1.855794666074013E-4</v>
          </cell>
          <cell r="F880">
            <v>2.2294477326016042E-3</v>
          </cell>
          <cell r="G880">
            <v>6.156719359970091E-4</v>
          </cell>
          <cell r="H880">
            <v>4.9204531659519475E-3</v>
          </cell>
          <cell r="I880">
            <v>0.91306783435935035</v>
          </cell>
        </row>
        <row r="881">
          <cell r="A881" t="str">
            <v>ITOT-SWHSTG</v>
          </cell>
          <cell r="B881" t="str">
            <v>VAR_fin</v>
          </cell>
          <cell r="C881" t="str">
            <v>ITOT-SWH</v>
          </cell>
          <cell r="D881">
            <v>1.4997732208403454E-5</v>
          </cell>
          <cell r="E881">
            <v>1.855794666074013E-4</v>
          </cell>
          <cell r="F881">
            <v>2.2294477326016042E-3</v>
          </cell>
          <cell r="G881">
            <v>6.156719359970091E-4</v>
          </cell>
          <cell r="H881">
            <v>4.9204531659519475E-3</v>
          </cell>
          <cell r="I881">
            <v>0.91306783435935035</v>
          </cell>
        </row>
        <row r="882">
          <cell r="A882" t="str">
            <v>ITOT-SWHSTG</v>
          </cell>
          <cell r="B882" t="str">
            <v>VAR_ncap</v>
          </cell>
          <cell r="C882" t="str">
            <v>-</v>
          </cell>
          <cell r="D882">
            <v>4.6131333022874E-4</v>
          </cell>
          <cell r="E882">
            <v>1.77749751733937E-6</v>
          </cell>
          <cell r="F882">
            <v>1.9224917870894299E-6</v>
          </cell>
          <cell r="G882">
            <v>1.37769890975652E-6</v>
          </cell>
          <cell r="H882">
            <v>9.1176088565876601E-4</v>
          </cell>
          <cell r="I882">
            <v>0.21199907345345601</v>
          </cell>
        </row>
        <row r="883">
          <cell r="A883" t="str">
            <v>ITOT-SWHSTG</v>
          </cell>
          <cell r="B883" t="str">
            <v>VAR_cap</v>
          </cell>
          <cell r="C883" t="str">
            <v>-</v>
          </cell>
          <cell r="D883">
            <v>4.6131333022874E-4</v>
          </cell>
          <cell r="E883">
            <v>4.6258662961834885E-4</v>
          </cell>
          <cell r="F883">
            <v>4.6396002176525981E-4</v>
          </cell>
          <cell r="G883">
            <v>4.6370741869016869E-4</v>
          </cell>
          <cell r="H883">
            <v>1.4832159811584607E-3</v>
          </cell>
          <cell r="I883">
            <v>0.21290034715242448</v>
          </cell>
        </row>
        <row r="884">
          <cell r="A884" t="str">
            <v>SCOM-SHLFOBR</v>
          </cell>
          <cell r="B884" t="str">
            <v>VAR_fout</v>
          </cell>
          <cell r="C884" t="str">
            <v>CO2_S</v>
          </cell>
          <cell r="D884">
            <v>2229.91409787976</v>
          </cell>
          <cell r="E884">
            <v>1973.9754732695601</v>
          </cell>
          <cell r="F884">
            <v>1803.93544027196</v>
          </cell>
          <cell r="G884">
            <v>939.94156317807699</v>
          </cell>
          <cell r="H884">
            <v>248.65428314707199</v>
          </cell>
          <cell r="I884">
            <v>6.2627637222788399</v>
          </cell>
        </row>
        <row r="885">
          <cell r="A885" t="str">
            <v>SCOM-SHLFOBR</v>
          </cell>
          <cell r="B885" t="str">
            <v>VAR_fout</v>
          </cell>
          <cell r="C885" t="str">
            <v>SCOM-SHLFO</v>
          </cell>
          <cell r="D885">
            <v>24.843071500442964</v>
          </cell>
          <cell r="E885">
            <v>22.035253293146862</v>
          </cell>
          <cell r="F885">
            <v>19.290286728950004</v>
          </cell>
          <cell r="G885">
            <v>10.419896555350174</v>
          </cell>
          <cell r="H885">
            <v>2.756503180556098</v>
          </cell>
          <cell r="I885">
            <v>7.0918105217748509E-2</v>
          </cell>
        </row>
        <row r="886">
          <cell r="A886" t="str">
            <v>SCOM-SHLFOBR</v>
          </cell>
          <cell r="B886" t="str">
            <v>VAR_fin</v>
          </cell>
          <cell r="C886" t="str">
            <v>SLFO</v>
          </cell>
          <cell r="D886">
            <v>30.256636334867888</v>
          </cell>
          <cell r="E886">
            <v>26.783927724145961</v>
          </cell>
          <cell r="F886">
            <v>24.476735960270798</v>
          </cell>
          <cell r="G886">
            <v>12.753616868087873</v>
          </cell>
          <cell r="H886">
            <v>3.3738708703808893</v>
          </cell>
          <cell r="I886">
            <v>8.4976441279224532E-2</v>
          </cell>
        </row>
        <row r="887">
          <cell r="A887" t="str">
            <v>SCOM-SHLFOBR</v>
          </cell>
          <cell r="B887" t="str">
            <v>VAR_ncap</v>
          </cell>
          <cell r="C887" t="str">
            <v>-</v>
          </cell>
          <cell r="D887">
            <v>4.32170595684563E-7</v>
          </cell>
          <cell r="E887">
            <v>2.6889633541337402E-7</v>
          </cell>
          <cell r="F887">
            <v>1.71481080344686E-7</v>
          </cell>
          <cell r="G887">
            <v>3.7727669777355198E-7</v>
          </cell>
          <cell r="H887">
            <v>2.2388175127916002E-6</v>
          </cell>
          <cell r="I887">
            <v>1.3676707916903399E-7</v>
          </cell>
        </row>
        <row r="888">
          <cell r="A888" t="str">
            <v>SCOM-SHLFOBR</v>
          </cell>
          <cell r="B888" t="str">
            <v>VAR_cap</v>
          </cell>
          <cell r="C888" t="str">
            <v>-</v>
          </cell>
          <cell r="D888">
            <v>1.9285740893957157</v>
          </cell>
          <cell r="E888">
            <v>1.8559088711134148</v>
          </cell>
          <cell r="F888">
            <v>1.5111527688756574</v>
          </cell>
          <cell r="G888">
            <v>1.5111026816149842</v>
          </cell>
          <cell r="H888">
            <v>0.2142664751299535</v>
          </cell>
          <cell r="I888">
            <v>1.1332672797083804E-2</v>
          </cell>
        </row>
        <row r="889">
          <cell r="A889" t="str">
            <v>RHNM-SHPLTBR</v>
          </cell>
          <cell r="B889" t="str">
            <v>VAR_fout</v>
          </cell>
          <cell r="C889" t="str">
            <v>RHNM-SHPLT</v>
          </cell>
          <cell r="E889">
            <v>7.3543330641444735E-2</v>
          </cell>
          <cell r="F889">
            <v>1.2808470349019481E-2</v>
          </cell>
          <cell r="G889">
            <v>2.914327838041799E-2</v>
          </cell>
          <cell r="H889">
            <v>3.8874249191155633E-2</v>
          </cell>
          <cell r="I889">
            <v>4.3820468168067089E-2</v>
          </cell>
        </row>
        <row r="890">
          <cell r="A890" t="str">
            <v>RHNM-SHPLTBR</v>
          </cell>
          <cell r="B890" t="str">
            <v>VAR_fin</v>
          </cell>
          <cell r="C890" t="str">
            <v>RPLT</v>
          </cell>
          <cell r="E890">
            <v>8.1714811823827505E-2</v>
          </cell>
          <cell r="F890">
            <v>1.7236915449838564E-2</v>
          </cell>
          <cell r="G890">
            <v>3.8533634071055901E-2</v>
          </cell>
          <cell r="H890">
            <v>5.083507651587886E-2</v>
          </cell>
          <cell r="I890">
            <v>5.7303147935578273E-2</v>
          </cell>
        </row>
        <row r="891">
          <cell r="A891" t="str">
            <v>RHNM-SHPLTBR</v>
          </cell>
          <cell r="B891" t="str">
            <v>VAR_fin</v>
          </cell>
          <cell r="C891" t="str">
            <v>RHNMPLTBRC</v>
          </cell>
          <cell r="E891">
            <v>7.3543330641444735E-2</v>
          </cell>
          <cell r="F891">
            <v>1.2808470349019481E-2</v>
          </cell>
          <cell r="G891">
            <v>2.914327838041799E-2</v>
          </cell>
          <cell r="H891">
            <v>3.8874249191155633E-2</v>
          </cell>
          <cell r="I891">
            <v>4.3820468168067089E-2</v>
          </cell>
        </row>
        <row r="892">
          <cell r="A892" t="str">
            <v>RHNM-SHPLTBR</v>
          </cell>
          <cell r="B892" t="str">
            <v>VAR_ncap</v>
          </cell>
          <cell r="C892" t="str">
            <v>-</v>
          </cell>
          <cell r="E892">
            <v>5.7565610041716304E-3</v>
          </cell>
          <cell r="F892">
            <v>6.1679686150393803E-7</v>
          </cell>
          <cell r="G892">
            <v>1.36731007223436E-6</v>
          </cell>
          <cell r="H892">
            <v>3.0334914993712099E-3</v>
          </cell>
          <cell r="I892">
            <v>1.2185720405516599E-3</v>
          </cell>
        </row>
        <row r="893">
          <cell r="A893" t="str">
            <v>RHNM-SHPLTBR</v>
          </cell>
          <cell r="B893" t="str">
            <v>VAR_cap</v>
          </cell>
          <cell r="C893" t="str">
            <v>-</v>
          </cell>
          <cell r="E893">
            <v>5.7565610041716304E-3</v>
          </cell>
          <cell r="F893">
            <v>5.3657241246149248E-3</v>
          </cell>
          <cell r="G893">
            <v>5.3652169922757294E-3</v>
          </cell>
          <cell r="H893">
            <v>3.0368434363302818E-3</v>
          </cell>
          <cell r="I893">
            <v>3.4210512787876857E-3</v>
          </cell>
        </row>
        <row r="894">
          <cell r="A894" t="str">
            <v>D-RHES_NKEV_GAS_ELC_CHP</v>
          </cell>
          <cell r="B894" t="str">
            <v>VAR_fout</v>
          </cell>
          <cell r="C894" t="str">
            <v>RHES_ELC</v>
          </cell>
          <cell r="D894">
            <v>6.8737102557126012E-3</v>
          </cell>
          <cell r="E894">
            <v>9.2579673820145829E-4</v>
          </cell>
          <cell r="F894">
            <v>1.1960267064136348E-3</v>
          </cell>
          <cell r="G894">
            <v>3.1010793409204395E-3</v>
          </cell>
          <cell r="H894">
            <v>7.3869283087248463E-4</v>
          </cell>
        </row>
        <row r="895">
          <cell r="A895" t="str">
            <v>D-RHES_NKEV_GAS_ELC_CHP</v>
          </cell>
          <cell r="B895" t="str">
            <v>VAR_fout</v>
          </cell>
          <cell r="C895" t="str">
            <v>ELC5</v>
          </cell>
          <cell r="D895">
            <v>6.6752889202354813E-3</v>
          </cell>
          <cell r="E895">
            <v>9.2598196184246926E-4</v>
          </cell>
          <cell r="F895">
            <v>1.196522988506526E-3</v>
          </cell>
          <cell r="G895">
            <v>3.1020705566258758E-3</v>
          </cell>
          <cell r="H895">
            <v>7.3882754532994532E-4</v>
          </cell>
        </row>
        <row r="896">
          <cell r="A896" t="str">
            <v>D-RHES_NKEV_GAS_ELC_CHP</v>
          </cell>
          <cell r="B896" t="str">
            <v>VAR_fin</v>
          </cell>
          <cell r="C896" t="str">
            <v>RHES_NKEV_GAS_ELC_CHP</v>
          </cell>
          <cell r="D896">
            <v>1.3548999175948095E-2</v>
          </cell>
          <cell r="E896">
            <v>1.8517787000439268E-3</v>
          </cell>
          <cell r="F896">
            <v>2.3832106341483954E-3</v>
          </cell>
          <cell r="G896">
            <v>6.1955371149128372E-3</v>
          </cell>
          <cell r="H896">
            <v>1.4650554470099423E-3</v>
          </cell>
        </row>
        <row r="897">
          <cell r="A897" t="str">
            <v>SCOM-SHSTG-SOL</v>
          </cell>
          <cell r="B897" t="str">
            <v>VAR_fout</v>
          </cell>
          <cell r="C897" t="str">
            <v>SCOM-SHASOL</v>
          </cell>
          <cell r="D897">
            <v>5.5884753187507476E-5</v>
          </cell>
          <cell r="E897">
            <v>5.7513444854998206E-5</v>
          </cell>
          <cell r="F897">
            <v>3.8237049756109673E-5</v>
          </cell>
          <cell r="G897">
            <v>3.2504762522447235E-5</v>
          </cell>
          <cell r="H897">
            <v>2.3397467846524498E-5</v>
          </cell>
          <cell r="I897">
            <v>1.4891480838544769E-5</v>
          </cell>
        </row>
        <row r="898">
          <cell r="A898" t="str">
            <v>SCOM-SHSTG-SOL</v>
          </cell>
          <cell r="B898" t="str">
            <v>VAR_fin</v>
          </cell>
          <cell r="C898" t="str">
            <v>SCOM-SHASOL</v>
          </cell>
          <cell r="D898">
            <v>5.1332759488482104E-5</v>
          </cell>
          <cell r="E898">
            <v>5.4566906338597522E-5</v>
          </cell>
          <cell r="F898">
            <v>3.2380988037106109E-5</v>
          </cell>
          <cell r="G898">
            <v>2.6448097286004053E-5</v>
          </cell>
          <cell r="H898">
            <v>1.6080228160011841E-5</v>
          </cell>
          <cell r="I898">
            <v>3.8464325375081519E-6</v>
          </cell>
        </row>
        <row r="899">
          <cell r="A899" t="str">
            <v>SCOM-SHSTG-SOL</v>
          </cell>
          <cell r="B899" t="str">
            <v>VAR_ncap</v>
          </cell>
          <cell r="C899" t="str">
            <v>-</v>
          </cell>
          <cell r="D899">
            <v>5.32612117840244E-3</v>
          </cell>
          <cell r="E899">
            <v>1.8163716197321E-2</v>
          </cell>
          <cell r="F899">
            <v>3.6576417008240699E-7</v>
          </cell>
          <cell r="G899">
            <v>2.9963807901677601E-3</v>
          </cell>
          <cell r="H899">
            <v>1.9520614323280901E-2</v>
          </cell>
          <cell r="I899">
            <v>2.45999355020796E-2</v>
          </cell>
        </row>
        <row r="900">
          <cell r="A900" t="str">
            <v>SCOM-SHSTG-SOL</v>
          </cell>
          <cell r="B900" t="str">
            <v>VAR_cap</v>
          </cell>
          <cell r="C900" t="str">
            <v>-</v>
          </cell>
          <cell r="D900">
            <v>5.32612117840244E-3</v>
          </cell>
          <cell r="E900">
            <v>2.34898373757235E-2</v>
          </cell>
          <cell r="F900">
            <v>2.3490203139893601E-2</v>
          </cell>
          <cell r="G900">
            <v>2.64865839300613E-2</v>
          </cell>
          <cell r="H900">
            <v>3.9386439097524803E-2</v>
          </cell>
          <cell r="I900">
            <v>4.6304156863854903E-2</v>
          </cell>
        </row>
        <row r="901">
          <cell r="A901" t="str">
            <v>RHNM-SHELCBRA</v>
          </cell>
          <cell r="B901" t="str">
            <v>VAR_fout</v>
          </cell>
          <cell r="C901" t="str">
            <v>RHNM-SHELCB</v>
          </cell>
          <cell r="E901">
            <v>0.15439177790246825</v>
          </cell>
          <cell r="F901">
            <v>7.6206461023642488E-4</v>
          </cell>
          <cell r="G901">
            <v>1.4419983783410266E-3</v>
          </cell>
          <cell r="H901">
            <v>1.7078555307779562E-3</v>
          </cell>
          <cell r="I901">
            <v>1.5171092771794023E-3</v>
          </cell>
        </row>
        <row r="902">
          <cell r="A902" t="str">
            <v>RHNM-SHELCBRA</v>
          </cell>
          <cell r="B902" t="str">
            <v>VAR_fin</v>
          </cell>
          <cell r="C902" t="str">
            <v>RHNM-SHAELCB</v>
          </cell>
          <cell r="E902">
            <v>0.15439177790246825</v>
          </cell>
          <cell r="F902">
            <v>7.6206461023642488E-4</v>
          </cell>
          <cell r="G902">
            <v>1.4419983783410266E-3</v>
          </cell>
          <cell r="H902">
            <v>1.7078555307779562E-3</v>
          </cell>
          <cell r="I902">
            <v>1.5171092771794023E-3</v>
          </cell>
        </row>
        <row r="903">
          <cell r="A903" t="str">
            <v>RHNM-SHELCBRA</v>
          </cell>
          <cell r="B903" t="str">
            <v>VAR_ncap</v>
          </cell>
          <cell r="C903" t="str">
            <v>-</v>
          </cell>
          <cell r="E903">
            <v>1.2046330150235001E-2</v>
          </cell>
        </row>
        <row r="904">
          <cell r="A904" t="str">
            <v>RHNM-SHELCBRA</v>
          </cell>
          <cell r="B904" t="str">
            <v>VAR_cap</v>
          </cell>
          <cell r="C904" t="str">
            <v>-</v>
          </cell>
          <cell r="E904">
            <v>1.2046330150235001E-2</v>
          </cell>
          <cell r="F904">
            <v>6.0568486509342007E-3</v>
          </cell>
          <cell r="G904">
            <v>4.3309142994839411E-3</v>
          </cell>
          <cell r="H904">
            <v>9.5222876152506876E-4</v>
          </cell>
          <cell r="I904">
            <v>4.0161149846201999E-4</v>
          </cell>
        </row>
        <row r="905">
          <cell r="A905" t="str">
            <v>RHNM-SHSTG-SOL</v>
          </cell>
          <cell r="B905" t="str">
            <v>VAR_fout</v>
          </cell>
          <cell r="C905" t="str">
            <v>RHNM-SHASOL</v>
          </cell>
          <cell r="E905">
            <v>2.8456668844459652E-5</v>
          </cell>
          <cell r="F905">
            <v>1.9300301394951245E-5</v>
          </cell>
          <cell r="G905">
            <v>5.3911710806316414E-5</v>
          </cell>
          <cell r="H905">
            <v>5.0942624286524718E-5</v>
          </cell>
          <cell r="I905">
            <v>6.0009845984584422E-5</v>
          </cell>
        </row>
        <row r="906">
          <cell r="A906" t="str">
            <v>RHNM-SHSTG-SOL</v>
          </cell>
          <cell r="B906" t="str">
            <v>VAR_fin</v>
          </cell>
          <cell r="C906" t="str">
            <v>RHNM-SHASOL</v>
          </cell>
          <cell r="E906">
            <v>1.6068501902971355E-6</v>
          </cell>
          <cell r="F906">
            <v>1.1560253889038815E-5</v>
          </cell>
          <cell r="G906">
            <v>5.1641271333493884E-5</v>
          </cell>
          <cell r="H906">
            <v>5.3189547872180513E-5</v>
          </cell>
          <cell r="I906">
            <v>6.8094935314857603E-5</v>
          </cell>
        </row>
        <row r="907">
          <cell r="A907" t="str">
            <v>RHNM-SHSTG-SOL</v>
          </cell>
          <cell r="B907" t="str">
            <v>VAR_ncap</v>
          </cell>
          <cell r="C907" t="str">
            <v>-</v>
          </cell>
          <cell r="D907">
            <v>9.5463768743776593E-5</v>
          </cell>
          <cell r="E907">
            <v>1.2282960666009299E-6</v>
          </cell>
          <cell r="F907">
            <v>6.9350962972020299E-5</v>
          </cell>
          <cell r="G907">
            <v>2.3830701065552901E-6</v>
          </cell>
          <cell r="H907">
            <v>9.9346556092060706E-6</v>
          </cell>
          <cell r="I907">
            <v>1.41778067890023E-5</v>
          </cell>
        </row>
        <row r="908">
          <cell r="A908" t="str">
            <v>RHNM-SHSTG-SOL</v>
          </cell>
          <cell r="B908" t="str">
            <v>VAR_cap</v>
          </cell>
          <cell r="C908" t="str">
            <v>-</v>
          </cell>
          <cell r="D908">
            <v>9.5463768743776593E-5</v>
          </cell>
          <cell r="E908">
            <v>9.6692064810377498E-5</v>
          </cell>
          <cell r="F908">
            <v>1.6604302778239799E-4</v>
          </cell>
          <cell r="G908">
            <v>1.68426097888953E-4</v>
          </cell>
          <cell r="H908">
            <v>2.4151542684501201E-5</v>
          </cell>
          <cell r="I908">
            <v>2.1517031786171701E-5</v>
          </cell>
        </row>
        <row r="909">
          <cell r="A909" t="str">
            <v>RHNS-SHELCHP</v>
          </cell>
          <cell r="B909" t="str">
            <v>VAR_fout</v>
          </cell>
          <cell r="C909" t="str">
            <v>RHNS-SHAELCH</v>
          </cell>
          <cell r="E909">
            <v>0.13919488450740636</v>
          </cell>
          <cell r="F909">
            <v>1.1035993076855817</v>
          </cell>
          <cell r="G909">
            <v>1.8214873748482185</v>
          </cell>
          <cell r="H909">
            <v>2.7622511413376074</v>
          </cell>
          <cell r="I909">
            <v>3.3665743419382044</v>
          </cell>
        </row>
        <row r="910">
          <cell r="A910" t="str">
            <v>RHNS-SHELCHP</v>
          </cell>
          <cell r="B910" t="str">
            <v>VAR_fin</v>
          </cell>
          <cell r="C910" t="str">
            <v>RHNS_ELC</v>
          </cell>
          <cell r="E910">
            <v>4.2785312860883148E-2</v>
          </cell>
          <cell r="F910">
            <v>0.32634770175021088</v>
          </cell>
          <cell r="G910">
            <v>0.50540019950494119</v>
          </cell>
          <cell r="H910">
            <v>0.71041963620503323</v>
          </cell>
          <cell r="I910">
            <v>0.80106027077225817</v>
          </cell>
        </row>
        <row r="911">
          <cell r="A911" t="str">
            <v>RHNS-SHELCHP</v>
          </cell>
          <cell r="B911" t="str">
            <v>VAR_fin</v>
          </cell>
          <cell r="C911" t="str">
            <v>RHNSELCHPC</v>
          </cell>
          <cell r="E911">
            <v>0.13919488450740636</v>
          </cell>
          <cell r="F911">
            <v>1.1035993076855817</v>
          </cell>
          <cell r="G911">
            <v>1.8214873748482185</v>
          </cell>
          <cell r="H911">
            <v>2.7622511413376074</v>
          </cell>
          <cell r="I911">
            <v>3.3665743419382044</v>
          </cell>
        </row>
        <row r="912">
          <cell r="A912" t="str">
            <v>RHNS-SHELCHP</v>
          </cell>
          <cell r="B912" t="str">
            <v>VAR_ncap</v>
          </cell>
          <cell r="C912" t="str">
            <v>-</v>
          </cell>
          <cell r="E912">
            <v>1.0179950972862801E-2</v>
          </cell>
          <cell r="F912">
            <v>7.0341732927671E-2</v>
          </cell>
          <cell r="G912">
            <v>5.2209365025399301E-2</v>
          </cell>
          <cell r="H912">
            <v>0.110228312270614</v>
          </cell>
          <cell r="I912">
            <v>0.14711347795409499</v>
          </cell>
        </row>
        <row r="913">
          <cell r="A913" t="str">
            <v>RHNS-SHELCHP</v>
          </cell>
          <cell r="B913" t="str">
            <v>VAR_cap</v>
          </cell>
          <cell r="C913" t="str">
            <v>-</v>
          </cell>
          <cell r="E913">
            <v>1.0179950972862801E-2</v>
          </cell>
          <cell r="F913">
            <v>8.0521603651004955E-2</v>
          </cell>
          <cell r="G913">
            <v>0.13273073934012394</v>
          </cell>
          <cell r="H913">
            <v>0.20123731418467741</v>
          </cell>
          <cell r="I913">
            <v>0.2452528000900992</v>
          </cell>
        </row>
        <row r="914">
          <cell r="A914" t="str">
            <v>SCOM-SHBIOBR</v>
          </cell>
          <cell r="B914" t="str">
            <v>VAR_fout</v>
          </cell>
          <cell r="C914" t="str">
            <v>SCOM-SHBIO</v>
          </cell>
          <cell r="D914">
            <v>1.2230712972579456</v>
          </cell>
          <cell r="E914">
            <v>1.340772779888358</v>
          </cell>
        </row>
        <row r="915">
          <cell r="A915" t="str">
            <v>SCOM-SHBIOBR</v>
          </cell>
          <cell r="B915" t="str">
            <v>VAR_fin</v>
          </cell>
          <cell r="C915" t="str">
            <v>SBIO</v>
          </cell>
          <cell r="D915">
            <v>1.4022830741320178</v>
          </cell>
          <cell r="E915">
            <v>1.5372308872831439</v>
          </cell>
        </row>
        <row r="916">
          <cell r="A916" t="str">
            <v>SCOM-SHBIOBR</v>
          </cell>
          <cell r="B916" t="str">
            <v>VAR_ncap</v>
          </cell>
          <cell r="C916" t="str">
            <v>-</v>
          </cell>
          <cell r="D916">
            <v>3.0913718749130901E-7</v>
          </cell>
          <cell r="E916">
            <v>1.1383210432833299E-6</v>
          </cell>
          <cell r="F916">
            <v>3.1065736668161999E-7</v>
          </cell>
          <cell r="G916">
            <v>3.6285640337099798E-7</v>
          </cell>
          <cell r="H916">
            <v>2.03173512494152E-5</v>
          </cell>
          <cell r="I916">
            <v>1.01511312650713E-5</v>
          </cell>
        </row>
        <row r="917">
          <cell r="A917" t="str">
            <v>SCOM-SHBIOBR</v>
          </cell>
          <cell r="B917" t="str">
            <v>VAR_cap</v>
          </cell>
          <cell r="C917" t="str">
            <v>-</v>
          </cell>
          <cell r="D917">
            <v>0.10534123460586349</v>
          </cell>
          <cell r="E917">
            <v>0.10534088680070477</v>
          </cell>
          <cell r="F917">
            <v>0.10532086726187689</v>
          </cell>
          <cell r="G917">
            <v>0.10531781995811454</v>
          </cell>
          <cell r="H917">
            <v>3.8301387996631973E-5</v>
          </cell>
          <cell r="I917">
            <v>3.2338801784744345E-5</v>
          </cell>
        </row>
        <row r="918">
          <cell r="A918" t="str">
            <v>RHES-SHDEM</v>
          </cell>
          <cell r="B918" t="str">
            <v>VAR_fout</v>
          </cell>
          <cell r="C918" t="str">
            <v>RHES-SHD</v>
          </cell>
          <cell r="D918">
            <v>62.024837503894084</v>
          </cell>
          <cell r="E918">
            <v>67.815394581973521</v>
          </cell>
          <cell r="F918">
            <v>56.576575144845123</v>
          </cell>
          <cell r="G918">
            <v>54.658029059334197</v>
          </cell>
          <cell r="H918">
            <v>52.379609985258668</v>
          </cell>
          <cell r="I918">
            <v>50.89640409044263</v>
          </cell>
        </row>
        <row r="919">
          <cell r="A919" t="str">
            <v>RHES-SHDEM</v>
          </cell>
          <cell r="B919" t="str">
            <v>VAR_fin</v>
          </cell>
          <cell r="C919" t="str">
            <v>RHES-SHPLT</v>
          </cell>
          <cell r="D919">
            <v>1.2932539188433978</v>
          </cell>
          <cell r="E919">
            <v>1.4868706013361419</v>
          </cell>
          <cell r="F919">
            <v>6.8300758770370382E-2</v>
          </cell>
          <cell r="G919">
            <v>8.4159792254071789E-2</v>
          </cell>
          <cell r="H919">
            <v>9.2966127810286625E-2</v>
          </cell>
          <cell r="I919">
            <v>7.9082421103965655E-2</v>
          </cell>
        </row>
        <row r="920">
          <cell r="A920" t="str">
            <v>RHES-SHDEM</v>
          </cell>
          <cell r="B920" t="str">
            <v>VAR_fin</v>
          </cell>
          <cell r="C920" t="str">
            <v>RHES-SHLTHC-NGA</v>
          </cell>
          <cell r="D920">
            <v>3.3692147329622793E-2</v>
          </cell>
          <cell r="E920">
            <v>4.3001614914818477E-3</v>
          </cell>
        </row>
        <row r="921">
          <cell r="A921" t="str">
            <v>RHES-SHDEM</v>
          </cell>
          <cell r="B921" t="str">
            <v>VAR_fin</v>
          </cell>
          <cell r="C921" t="str">
            <v>RHES-SHSOL</v>
          </cell>
          <cell r="D921">
            <v>0.37597463778488016</v>
          </cell>
          <cell r="E921">
            <v>0.43548449398152222</v>
          </cell>
          <cell r="F921">
            <v>2.3173104334535014E-2</v>
          </cell>
          <cell r="G921">
            <v>2.6505029324806494E-2</v>
          </cell>
          <cell r="H921">
            <v>2.8279020007819341E-2</v>
          </cell>
          <cell r="I921">
            <v>2.7753871011861071E-2</v>
          </cell>
        </row>
        <row r="922">
          <cell r="A922" t="str">
            <v>RHES-SHDEM</v>
          </cell>
          <cell r="B922" t="str">
            <v>VAR_fin</v>
          </cell>
          <cell r="C922" t="str">
            <v>RHES-SHLTHC-WOD</v>
          </cell>
          <cell r="D922">
            <v>9.2044784348128061E-5</v>
          </cell>
          <cell r="E922">
            <v>1.4133377081849439E-5</v>
          </cell>
        </row>
        <row r="923">
          <cell r="A923" t="str">
            <v>RHES-SHDEM</v>
          </cell>
          <cell r="B923" t="str">
            <v>VAR_fin</v>
          </cell>
          <cell r="C923" t="str">
            <v>RHES-SHNGA</v>
          </cell>
          <cell r="D923">
            <v>17.566585320398055</v>
          </cell>
          <cell r="E923">
            <v>18.853718569740277</v>
          </cell>
          <cell r="F923">
            <v>10.501746241732898</v>
          </cell>
          <cell r="G923">
            <v>7.1768137650200616</v>
          </cell>
          <cell r="H923">
            <v>2.1711294012326916</v>
          </cell>
          <cell r="I923">
            <v>0.89513562243230704</v>
          </cell>
        </row>
        <row r="924">
          <cell r="A924" t="str">
            <v>RHES-SHDEM</v>
          </cell>
          <cell r="B924" t="str">
            <v>VAR_fin</v>
          </cell>
          <cell r="C924" t="str">
            <v>RHES-SHNGAH</v>
          </cell>
          <cell r="D924">
            <v>3.5695645986625208E-4</v>
          </cell>
          <cell r="E924">
            <v>1.5112049280636536E-5</v>
          </cell>
          <cell r="F924">
            <v>1.5666267225527222</v>
          </cell>
          <cell r="G924">
            <v>1.5060092960470226</v>
          </cell>
          <cell r="H924">
            <v>1.3253837642353741</v>
          </cell>
          <cell r="I924">
            <v>1.0943638998631051</v>
          </cell>
        </row>
        <row r="925">
          <cell r="A925" t="str">
            <v>RHES-SHDEM</v>
          </cell>
          <cell r="B925" t="str">
            <v>VAR_fin</v>
          </cell>
          <cell r="C925" t="str">
            <v>RHES-SHCOA</v>
          </cell>
          <cell r="D925">
            <v>7.4423815269435076E-2</v>
          </cell>
          <cell r="E925">
            <v>7.1995365357486157E-2</v>
          </cell>
          <cell r="F925">
            <v>2.073796323263126E-2</v>
          </cell>
          <cell r="G925">
            <v>3.8330000482367894E-4</v>
          </cell>
        </row>
        <row r="926">
          <cell r="A926" t="str">
            <v>RHES-SHDEM</v>
          </cell>
          <cell r="B926" t="str">
            <v>VAR_fin</v>
          </cell>
          <cell r="C926" t="str">
            <v>RHES-SHLFO</v>
          </cell>
          <cell r="D926">
            <v>21.675050350144836</v>
          </cell>
          <cell r="E926">
            <v>19.946185161624371</v>
          </cell>
          <cell r="F926">
            <v>13.943724291488955</v>
          </cell>
          <cell r="G926">
            <v>6.4951696067326719</v>
          </cell>
          <cell r="H926">
            <v>1.1018789635290895</v>
          </cell>
          <cell r="I926">
            <v>4.7461911319288071E-2</v>
          </cell>
        </row>
        <row r="927">
          <cell r="A927" t="str">
            <v>RHES-SHDEM</v>
          </cell>
          <cell r="B927" t="str">
            <v>VAR_fin</v>
          </cell>
          <cell r="C927" t="str">
            <v>RHES-SHCON</v>
          </cell>
          <cell r="D927">
            <v>3.9254023503823336E-2</v>
          </cell>
          <cell r="E927">
            <v>3.7149816874450847</v>
          </cell>
          <cell r="F927">
            <v>2.2588151548728179</v>
          </cell>
          <cell r="G927">
            <v>4.5221632162230545</v>
          </cell>
          <cell r="H927">
            <v>8.6965268905963899</v>
          </cell>
          <cell r="I927">
            <v>12.460928676152928</v>
          </cell>
        </row>
        <row r="928">
          <cell r="A928" t="str">
            <v>RHES-SHDEM</v>
          </cell>
          <cell r="B928" t="str">
            <v>VAR_fin</v>
          </cell>
          <cell r="C928" t="str">
            <v>RHES-SHWOD</v>
          </cell>
          <cell r="D928">
            <v>4.3836485852404357</v>
          </cell>
          <cell r="E928">
            <v>5.0342582437918848</v>
          </cell>
          <cell r="F928">
            <v>5.4768577788566937</v>
          </cell>
          <cell r="G928">
            <v>4.491092842967098</v>
          </cell>
          <cell r="H928">
            <v>2.8225240931830125</v>
          </cell>
          <cell r="I928">
            <v>1.5421497881576733</v>
          </cell>
        </row>
        <row r="929">
          <cell r="A929" t="str">
            <v>RHES-SHDEM</v>
          </cell>
          <cell r="B929" t="str">
            <v>VAR_fin</v>
          </cell>
          <cell r="C929" t="str">
            <v>RHES-SHLTHD</v>
          </cell>
          <cell r="D929">
            <v>3.1500193298419652</v>
          </cell>
          <cell r="E929">
            <v>3.5037793341383483</v>
          </cell>
          <cell r="F929">
            <v>1.4257602527316284</v>
          </cell>
          <cell r="G929">
            <v>1.7363300170558669</v>
          </cell>
          <cell r="H929">
            <v>1.9302537712481977</v>
          </cell>
          <cell r="I929">
            <v>1.8036039191907121</v>
          </cell>
        </row>
        <row r="930">
          <cell r="A930" t="str">
            <v>RHES-SHDEM</v>
          </cell>
          <cell r="B930" t="str">
            <v>VAR_fin</v>
          </cell>
          <cell r="C930" t="str">
            <v>RHES-SHELCB</v>
          </cell>
          <cell r="D930">
            <v>4.2764825254402421</v>
          </cell>
          <cell r="E930">
            <v>4.4886364898152511</v>
          </cell>
          <cell r="F930">
            <v>0.7804727512822397</v>
          </cell>
          <cell r="G930">
            <v>0.18350361510619478</v>
          </cell>
          <cell r="H930">
            <v>2.1844562725479803E-3</v>
          </cell>
          <cell r="I930">
            <v>7.0694909041882023E-4</v>
          </cell>
        </row>
        <row r="931">
          <cell r="A931" t="str">
            <v>RHES-SHDEM</v>
          </cell>
          <cell r="B931" t="str">
            <v>VAR_fin</v>
          </cell>
          <cell r="C931" t="str">
            <v>RHES-SHELCH</v>
          </cell>
          <cell r="D931">
            <v>9.1540015095240115</v>
          </cell>
          <cell r="E931">
            <v>10.27589172208217</v>
          </cell>
          <cell r="F931">
            <v>20.511196321667519</v>
          </cell>
          <cell r="G931">
            <v>28.43646996290698</v>
          </cell>
          <cell r="H931">
            <v>34.209026574961847</v>
          </cell>
          <cell r="I931">
            <v>32.945670489321209</v>
          </cell>
        </row>
        <row r="932">
          <cell r="A932" t="str">
            <v>RHES-SHDEM</v>
          </cell>
          <cell r="B932" t="str">
            <v>VAR_fin</v>
          </cell>
          <cell r="C932" t="str">
            <v>RHES-SHNST</v>
          </cell>
          <cell r="D932">
            <v>2.5001114506398637E-3</v>
          </cell>
          <cell r="E932">
            <v>1.3245480928284379E-5</v>
          </cell>
        </row>
        <row r="933">
          <cell r="A933" t="str">
            <v>D-RHEM_LTH_CHPNGA</v>
          </cell>
          <cell r="B933" t="str">
            <v>VAR_fout</v>
          </cell>
          <cell r="C933" t="str">
            <v>RHSA_LTH</v>
          </cell>
          <cell r="D933">
            <v>1.6732742463129839E-3</v>
          </cell>
          <cell r="E933">
            <v>3.5958007690429492E-2</v>
          </cell>
          <cell r="F933">
            <v>6.782723289503205E-2</v>
          </cell>
          <cell r="G933">
            <v>0.32973088207683177</v>
          </cell>
          <cell r="H933">
            <v>6.5872785831619471E-2</v>
          </cell>
          <cell r="I933">
            <v>1.9333230121563555E-5</v>
          </cell>
        </row>
        <row r="934">
          <cell r="A934" t="str">
            <v>D-RHEM_LTH_CHPNGA</v>
          </cell>
          <cell r="B934" t="str">
            <v>VAR_fout</v>
          </cell>
          <cell r="C934" t="str">
            <v>RHEM_LTH_CHPNGA_ON</v>
          </cell>
          <cell r="D934">
            <v>5.0928760051611892E-2</v>
          </cell>
          <cell r="E934">
            <v>5.6366459315006841E-2</v>
          </cell>
          <cell r="F934">
            <v>2.3099954447389836E-2</v>
          </cell>
          <cell r="G934">
            <v>3.1716037485227E-2</v>
          </cell>
          <cell r="H934">
            <v>7.7477951620107094E-2</v>
          </cell>
          <cell r="I934">
            <v>9.9942844772377711E-6</v>
          </cell>
        </row>
        <row r="935">
          <cell r="A935" t="str">
            <v>D-RHEM_LTH_CHPNGA</v>
          </cell>
          <cell r="B935" t="str">
            <v>VAR_fout</v>
          </cell>
          <cell r="C935" t="str">
            <v>LTH</v>
          </cell>
          <cell r="E935">
            <v>1.0758420730650998E-5</v>
          </cell>
          <cell r="F935">
            <v>2.7048675556709656E-5</v>
          </cell>
          <cell r="G935">
            <v>9.1114901388634085E-5</v>
          </cell>
          <cell r="H935">
            <v>1.1434577260726673E-4</v>
          </cell>
          <cell r="I935">
            <v>1.3565542024256288E-5</v>
          </cell>
        </row>
        <row r="936">
          <cell r="A936" t="str">
            <v>D-RHEM_LTH_CHPNGA</v>
          </cell>
          <cell r="B936" t="str">
            <v>VAR_fin</v>
          </cell>
          <cell r="C936" t="str">
            <v>RHEM_LTH_CHPNGA</v>
          </cell>
          <cell r="D936">
            <v>5.260203429792485E-2</v>
          </cell>
          <cell r="E936">
            <v>9.2335530411585043E-2</v>
          </cell>
          <cell r="F936">
            <v>9.0954349156778011E-2</v>
          </cell>
          <cell r="G936">
            <v>0.3615380344634469</v>
          </cell>
          <cell r="H936">
            <v>0.14346531250269065</v>
          </cell>
          <cell r="I936">
            <v>4.289305662305766E-5</v>
          </cell>
        </row>
        <row r="937">
          <cell r="A937" t="str">
            <v>RHEM-SHLTHCHPNGA</v>
          </cell>
          <cell r="B937" t="str">
            <v>VAR_fout</v>
          </cell>
          <cell r="C937" t="str">
            <v>RHEM-SHLTHC-NGA</v>
          </cell>
          <cell r="D937">
            <v>4.79253042360656E-2</v>
          </cell>
          <cell r="E937">
            <v>5.5802794721856772E-2</v>
          </cell>
        </row>
        <row r="938">
          <cell r="A938" t="str">
            <v>RHEM-SHLTHCHPNGA</v>
          </cell>
          <cell r="B938" t="str">
            <v>VAR_fin</v>
          </cell>
          <cell r="C938" t="str">
            <v>RHEM_LTH_CHPNGA_ON</v>
          </cell>
          <cell r="D938">
            <v>4.8409398218248134E-2</v>
          </cell>
          <cell r="E938">
            <v>5.6366459315006841E-2</v>
          </cell>
        </row>
        <row r="939">
          <cell r="A939" t="str">
            <v>RHEM-SHLTHCHPNGA</v>
          </cell>
          <cell r="B939" t="str">
            <v>VAR_fin</v>
          </cell>
          <cell r="C939" t="str">
            <v>RHEMLTHCHPC</v>
          </cell>
          <cell r="D939">
            <v>4.79253042360656E-2</v>
          </cell>
          <cell r="E939">
            <v>5.5802794721856772E-2</v>
          </cell>
        </row>
        <row r="940">
          <cell r="A940" t="str">
            <v>RHEM-SHLTHCHPNGA</v>
          </cell>
          <cell r="B940" t="str">
            <v>VAR_ncap</v>
          </cell>
          <cell r="C940" t="str">
            <v>-</v>
          </cell>
          <cell r="D940">
            <v>2.5180172230426E-6</v>
          </cell>
          <cell r="E940">
            <v>3.0542832912118299E-3</v>
          </cell>
          <cell r="F940">
            <v>1.03969520438106E-2</v>
          </cell>
          <cell r="G940">
            <v>7.9579862970956192E-3</v>
          </cell>
          <cell r="H940">
            <v>2.3319038050748399E-3</v>
          </cell>
          <cell r="I940">
            <v>2.7195008313576801E-8</v>
          </cell>
        </row>
        <row r="941">
          <cell r="A941" t="str">
            <v>RHEM-SHLTHCHPNGA</v>
          </cell>
          <cell r="B941" t="str">
            <v>VAR_cap</v>
          </cell>
          <cell r="C941" t="str">
            <v>-</v>
          </cell>
          <cell r="D941">
            <v>6.8007190157717721E-3</v>
          </cell>
          <cell r="E941">
            <v>5.9633552944808894E-3</v>
          </cell>
          <cell r="F941">
            <v>1.4860114667615039E-2</v>
          </cell>
          <cell r="G941">
            <v>1.793666480179093E-2</v>
          </cell>
          <cell r="H941">
            <v>6.9774800100620808E-3</v>
          </cell>
        </row>
        <row r="942">
          <cell r="A942" t="str">
            <v>D-RHES_SOLELC</v>
          </cell>
          <cell r="B942" t="str">
            <v>VAR_fout</v>
          </cell>
          <cell r="C942" t="str">
            <v>RHES_ELC</v>
          </cell>
          <cell r="D942">
            <v>1.8356240087864919</v>
          </cell>
          <cell r="E942">
            <v>1.5110771759185682</v>
          </cell>
          <cell r="F942">
            <v>1.749005367497404</v>
          </cell>
          <cell r="G942">
            <v>1.9454300738706052</v>
          </cell>
          <cell r="H942">
            <v>0.73482406600546524</v>
          </cell>
          <cell r="I942">
            <v>5.4241173097839925E-4</v>
          </cell>
        </row>
        <row r="943">
          <cell r="A943" t="str">
            <v>D-RHES_SOLELC</v>
          </cell>
          <cell r="B943" t="str">
            <v>VAR_fout</v>
          </cell>
          <cell r="C943" t="str">
            <v>ELC5</v>
          </cell>
          <cell r="D943">
            <v>0.29931507994816908</v>
          </cell>
          <cell r="E943">
            <v>1.8795907611079981</v>
          </cell>
          <cell r="F943">
            <v>2.2700670104632659</v>
          </cell>
          <cell r="G943">
            <v>2.3985772604513556</v>
          </cell>
          <cell r="H943">
            <v>0.7260649784124743</v>
          </cell>
          <cell r="I943">
            <v>5.358017088891282E-4</v>
          </cell>
        </row>
        <row r="944">
          <cell r="A944" t="str">
            <v>D-RHES_SOLELC</v>
          </cell>
          <cell r="B944" t="str">
            <v>VAR_fin</v>
          </cell>
          <cell r="C944" t="str">
            <v>RHES_SOL_ELC</v>
          </cell>
          <cell r="D944">
            <v>2.1349390887346629</v>
          </cell>
          <cell r="E944">
            <v>3.3906651673160253</v>
          </cell>
          <cell r="F944">
            <v>4.019072377960673</v>
          </cell>
          <cell r="G944">
            <v>4.344007334321959</v>
          </cell>
          <cell r="H944">
            <v>1.4608890444179401</v>
          </cell>
          <cell r="I944">
            <v>1.0782403436755228E-3</v>
          </cell>
        </row>
        <row r="945">
          <cell r="A945" t="str">
            <v>D-DH2</v>
          </cell>
          <cell r="B945" t="str">
            <v>VAR_fout</v>
          </cell>
          <cell r="C945" t="str">
            <v>H2</v>
          </cell>
          <cell r="G945">
            <v>1.1953810834778427E-6</v>
          </cell>
          <cell r="H945">
            <v>0.85957281707519195</v>
          </cell>
          <cell r="I945">
            <v>1.1985817127736926</v>
          </cell>
        </row>
        <row r="946">
          <cell r="A946" t="str">
            <v>D-DH2</v>
          </cell>
          <cell r="B946" t="str">
            <v>VAR_fin</v>
          </cell>
          <cell r="C946" t="str">
            <v>H2_E</v>
          </cell>
          <cell r="G946">
            <v>1.2074556398766084E-6</v>
          </cell>
          <cell r="H946">
            <v>0.86825537078302217</v>
          </cell>
          <cell r="I946">
            <v>1.2106885987613063</v>
          </cell>
        </row>
        <row r="947">
          <cell r="A947" t="str">
            <v>D-DH2</v>
          </cell>
          <cell r="B947" t="str">
            <v>VAR_ncap</v>
          </cell>
          <cell r="C947" t="str">
            <v>-</v>
          </cell>
          <cell r="G947">
            <v>1.9745970528279099E-5</v>
          </cell>
          <cell r="H947">
            <v>0.115399542585015</v>
          </cell>
          <cell r="I947">
            <v>4.5522904124833001E-2</v>
          </cell>
        </row>
        <row r="948">
          <cell r="A948" t="str">
            <v>D-DH2</v>
          </cell>
          <cell r="B948" t="str">
            <v>VAR_cap</v>
          </cell>
          <cell r="C948" t="str">
            <v>-</v>
          </cell>
          <cell r="G948">
            <v>1.9745970528279099E-5</v>
          </cell>
          <cell r="H948">
            <v>0.115445162840716</v>
          </cell>
          <cell r="I948">
            <v>0.16096806696554899</v>
          </cell>
        </row>
        <row r="949">
          <cell r="A949" t="str">
            <v>ITOT-SWHHFOBR</v>
          </cell>
          <cell r="B949" t="str">
            <v>VAR_fout</v>
          </cell>
          <cell r="C949" t="str">
            <v>ITOT-SWH</v>
          </cell>
          <cell r="D949">
            <v>1.8458302436861882</v>
          </cell>
          <cell r="E949">
            <v>1.5859093121715837</v>
          </cell>
          <cell r="F949">
            <v>1.2359596870898373E-3</v>
          </cell>
          <cell r="G949">
            <v>1.4935464060867009E-4</v>
          </cell>
          <cell r="H949">
            <v>5.677321192264572E-4</v>
          </cell>
        </row>
        <row r="950">
          <cell r="A950" t="str">
            <v>ITOT-SWHHFOBR</v>
          </cell>
          <cell r="B950" t="str">
            <v>VAR_fout</v>
          </cell>
          <cell r="C950" t="str">
            <v>CO2_I</v>
          </cell>
          <cell r="D950">
            <v>210.21102423935901</v>
          </cell>
          <cell r="E950">
            <v>179.832143490482</v>
          </cell>
          <cell r="F950">
            <v>0.13925032780015401</v>
          </cell>
          <cell r="G950">
            <v>1.664901531215E-2</v>
          </cell>
          <cell r="H950">
            <v>6.1974656289827602E-2</v>
          </cell>
        </row>
        <row r="951">
          <cell r="A951" t="str">
            <v>ITOT-SWHHFOBR</v>
          </cell>
          <cell r="B951" t="str">
            <v>VAR_fin</v>
          </cell>
          <cell r="C951" t="str">
            <v>IHFO</v>
          </cell>
          <cell r="D951">
            <v>2.7300133018098549</v>
          </cell>
          <cell r="E951">
            <v>2.3354823829932756</v>
          </cell>
          <cell r="F951">
            <v>1.8084458155864125E-3</v>
          </cell>
          <cell r="G951">
            <v>2.1622097807986963E-4</v>
          </cell>
          <cell r="H951">
            <v>8.0486566610165798E-4</v>
          </cell>
        </row>
        <row r="952">
          <cell r="A952" t="str">
            <v>ITOT-SWHHFOBR</v>
          </cell>
          <cell r="B952" t="str">
            <v>VAR_ncap</v>
          </cell>
          <cell r="C952" t="str">
            <v>-</v>
          </cell>
          <cell r="D952">
            <v>1.31486600673912E-4</v>
          </cell>
          <cell r="E952">
            <v>5.0601037000861597E-6</v>
          </cell>
          <cell r="F952">
            <v>4.3939546699183798E-6</v>
          </cell>
          <cell r="G952">
            <v>7.0081674393277198E-6</v>
          </cell>
          <cell r="H952">
            <v>3.20242656532645E-5</v>
          </cell>
          <cell r="I952">
            <v>1.1529633956639299E-6</v>
          </cell>
        </row>
        <row r="953">
          <cell r="A953" t="str">
            <v>ITOT-SWHHFOBR</v>
          </cell>
          <cell r="B953" t="str">
            <v>VAR_cap</v>
          </cell>
          <cell r="C953" t="str">
            <v>-</v>
          </cell>
          <cell r="D953">
            <v>0.10084848660067391</v>
          </cell>
          <cell r="E953">
            <v>0.10078743815917834</v>
          </cell>
          <cell r="F953">
            <v>1.1769375384591829E-4</v>
          </cell>
          <cell r="G953">
            <v>1.4519526806242022E-5</v>
          </cell>
          <cell r="H953">
            <v>5.3368162463408159E-5</v>
          </cell>
          <cell r="I953">
            <v>-2.9065510117116971E-6</v>
          </cell>
        </row>
        <row r="954">
          <cell r="A954" t="str">
            <v>RHSA-WHSTG-ELCHP</v>
          </cell>
          <cell r="B954" t="str">
            <v>VAR_fout</v>
          </cell>
          <cell r="C954" t="str">
            <v>RHSA-WHAELCH</v>
          </cell>
          <cell r="E954">
            <v>4.0390579197566168E-7</v>
          </cell>
          <cell r="F954">
            <v>2.6103440132866446E-2</v>
          </cell>
          <cell r="G954">
            <v>0.29234844196550702</v>
          </cell>
          <cell r="H954">
            <v>0.47344812633869943</v>
          </cell>
          <cell r="I954">
            <v>0.62603901633713643</v>
          </cell>
        </row>
        <row r="955">
          <cell r="A955" t="str">
            <v>RHSA-WHSTG-ELCHP</v>
          </cell>
          <cell r="B955" t="str">
            <v>VAR_fin</v>
          </cell>
          <cell r="C955" t="str">
            <v>RHSA-WHAELCH</v>
          </cell>
          <cell r="D955">
            <v>2.2602296827741898E-5</v>
          </cell>
          <cell r="E955">
            <v>1.5657543478006606E-5</v>
          </cell>
          <cell r="F955">
            <v>2.6105815197213288E-2</v>
          </cell>
          <cell r="G955">
            <v>0.29235784173584273</v>
          </cell>
          <cell r="H955">
            <v>0.47345870399770768</v>
          </cell>
          <cell r="I955">
            <v>0.62605569800761285</v>
          </cell>
        </row>
        <row r="956">
          <cell r="A956" t="str">
            <v>RHSA-WHSTG-ELCHP</v>
          </cell>
          <cell r="B956" t="str">
            <v>VAR_ncap</v>
          </cell>
          <cell r="C956" t="str">
            <v>-</v>
          </cell>
          <cell r="D956">
            <v>4.0572282080001297E-3</v>
          </cell>
          <cell r="E956">
            <v>5.3876800104299599E-2</v>
          </cell>
          <cell r="F956">
            <v>2.1147495036482701E-2</v>
          </cell>
          <cell r="G956">
            <v>6.8822125446661206E-2</v>
          </cell>
          <cell r="H956">
            <v>0.116757437170713</v>
          </cell>
          <cell r="I956">
            <v>0.16992358990041101</v>
          </cell>
        </row>
        <row r="957">
          <cell r="A957" t="str">
            <v>RHSA-WHSTG-ELCHP</v>
          </cell>
          <cell r="B957" t="str">
            <v>VAR_cap</v>
          </cell>
          <cell r="C957" t="str">
            <v>-</v>
          </cell>
          <cell r="D957">
            <v>4.058467737403218E-3</v>
          </cell>
          <cell r="E957">
            <v>5.7911915424687883E-2</v>
          </cell>
          <cell r="F957">
            <v>7.9048452400921843E-2</v>
          </cell>
          <cell r="G957">
            <v>0.14786337317509868</v>
          </cell>
          <cell r="H957">
            <v>0.24246605053264117</v>
          </cell>
          <cell r="I957">
            <v>0.28635536294154312</v>
          </cell>
        </row>
        <row r="958">
          <cell r="A958" t="str">
            <v>RES-ELCSPECADV</v>
          </cell>
          <cell r="B958" t="str">
            <v>VAR_fout</v>
          </cell>
          <cell r="C958" t="str">
            <v>RHSA-ELS</v>
          </cell>
          <cell r="F958">
            <v>1.2140962515963618E-3</v>
          </cell>
          <cell r="G958">
            <v>9.2969283617630047</v>
          </cell>
          <cell r="H958">
            <v>18.420977279237832</v>
          </cell>
          <cell r="I958">
            <v>27.710849568085898</v>
          </cell>
        </row>
        <row r="959">
          <cell r="A959" t="str">
            <v>RES-ELCSPECADV</v>
          </cell>
          <cell r="B959" t="str">
            <v>VAR_fin</v>
          </cell>
          <cell r="C959" t="str">
            <v>RHSA_ELC</v>
          </cell>
          <cell r="F959">
            <v>8.0939750106424186E-4</v>
          </cell>
          <cell r="G959">
            <v>6.1979522411753356</v>
          </cell>
          <cell r="H959">
            <v>12.280651519491883</v>
          </cell>
          <cell r="I959">
            <v>18.473899712057261</v>
          </cell>
        </row>
        <row r="960">
          <cell r="A960" t="str">
            <v>RES-ELCSPECADV</v>
          </cell>
          <cell r="B960" t="str">
            <v>VAR_ncap</v>
          </cell>
          <cell r="C960" t="str">
            <v>-</v>
          </cell>
          <cell r="F960">
            <v>1.2951807068247199E-4</v>
          </cell>
          <cell r="G960">
            <v>0.98254919295499998</v>
          </cell>
          <cell r="H960">
            <v>0.49228098557260003</v>
          </cell>
          <cell r="I960">
            <v>1.32312067901599</v>
          </cell>
        </row>
        <row r="961">
          <cell r="A961" t="str">
            <v>RES-ELCSPECADV</v>
          </cell>
          <cell r="B961" t="str">
            <v>VAR_cap</v>
          </cell>
          <cell r="C961" t="str">
            <v>-</v>
          </cell>
          <cell r="F961">
            <v>1.2951807068247199E-4</v>
          </cell>
          <cell r="G961">
            <v>0.98267865256060427</v>
          </cell>
          <cell r="H961">
            <v>1.9470843250498362</v>
          </cell>
          <cell r="I961">
            <v>2.9290172994752681</v>
          </cell>
        </row>
        <row r="962">
          <cell r="A962" t="str">
            <v>ITOT-SWHSTG-ELCHP</v>
          </cell>
          <cell r="B962" t="str">
            <v>VAR_fout</v>
          </cell>
          <cell r="C962" t="str">
            <v>ITOT-SWHAELCH</v>
          </cell>
          <cell r="D962">
            <v>1.3697387637356595E-4</v>
          </cell>
          <cell r="E962">
            <v>3.1275774297754482E-5</v>
          </cell>
          <cell r="F962">
            <v>2.3091418600906756E-3</v>
          </cell>
          <cell r="G962">
            <v>3.2704815634647378E-4</v>
          </cell>
          <cell r="H962">
            <v>4.9558161281861503E-2</v>
          </cell>
          <cell r="I962">
            <v>1.9034304292442773E-2</v>
          </cell>
        </row>
        <row r="963">
          <cell r="A963" t="str">
            <v>ITOT-SWHSTG-ELCHP</v>
          </cell>
          <cell r="B963" t="str">
            <v>VAR_fin</v>
          </cell>
          <cell r="C963" t="str">
            <v>ITOT-SWHAELCH</v>
          </cell>
          <cell r="D963">
            <v>1.8520791139639101E-4</v>
          </cell>
          <cell r="E963">
            <v>3.8579040915041277E-5</v>
          </cell>
          <cell r="F963">
            <v>2.9849340724072745E-3</v>
          </cell>
          <cell r="G963">
            <v>4.1920485428736026E-4</v>
          </cell>
          <cell r="H963">
            <v>5.8324902600106344E-2</v>
          </cell>
          <cell r="I963">
            <v>2.116462286944084E-2</v>
          </cell>
        </row>
        <row r="964">
          <cell r="A964" t="str">
            <v>ITOT-SWHSTG-ELCHP</v>
          </cell>
          <cell r="B964" t="str">
            <v>VAR_ncap</v>
          </cell>
          <cell r="C964" t="str">
            <v>-</v>
          </cell>
          <cell r="D964">
            <v>8.56953728166511E-3</v>
          </cell>
          <cell r="E964">
            <v>9.4398633135270495E-3</v>
          </cell>
          <cell r="F964">
            <v>3.6321016507741802E-3</v>
          </cell>
          <cell r="G964">
            <v>5.2769124154599403E-2</v>
          </cell>
          <cell r="H964">
            <v>2.76474038272259E-2</v>
          </cell>
          <cell r="I964">
            <v>5.0893695629955202E-2</v>
          </cell>
        </row>
        <row r="965">
          <cell r="A965" t="str">
            <v>ITOT-SWHSTG-ELCHP</v>
          </cell>
          <cell r="B965" t="str">
            <v>VAR_cap</v>
          </cell>
          <cell r="C965" t="str">
            <v>-</v>
          </cell>
          <cell r="D965">
            <v>8.56953728166511E-3</v>
          </cell>
          <cell r="E965">
            <v>1.7942542493032239E-2</v>
          </cell>
          <cell r="F965">
            <v>2.1558950558487611E-2</v>
          </cell>
          <cell r="G965">
            <v>7.4344519960488353E-2</v>
          </cell>
          <cell r="H965">
            <v>7.5275255174476571E-2</v>
          </cell>
          <cell r="I965">
            <v>7.5577494704691633E-2</v>
          </cell>
        </row>
        <row r="966">
          <cell r="A966" t="str">
            <v>D-RHNS_LTH_CHPWOD</v>
          </cell>
          <cell r="B966" t="str">
            <v>VAR_fout</v>
          </cell>
          <cell r="C966" t="str">
            <v>RHNS_LTH_CHPWOD_ON</v>
          </cell>
          <cell r="D966">
            <v>4.1091569532482715E-5</v>
          </cell>
          <cell r="E966">
            <v>1.9951633013673864E-5</v>
          </cell>
          <cell r="F966">
            <v>7.8071952503569557E-6</v>
          </cell>
          <cell r="H966">
            <v>2.3384433926904305E-3</v>
          </cell>
          <cell r="I966">
            <v>6.1863611991556965E-4</v>
          </cell>
        </row>
        <row r="967">
          <cell r="A967" t="str">
            <v>D-RHNS_LTH_CHPWOD</v>
          </cell>
          <cell r="B967" t="str">
            <v>VAR_fout</v>
          </cell>
          <cell r="C967" t="str">
            <v>RHSA_LTH</v>
          </cell>
          <cell r="D967">
            <v>3.5616827505135662E-5</v>
          </cell>
          <cell r="E967">
            <v>6.6818187499326256E-5</v>
          </cell>
          <cell r="F967">
            <v>2.179499225099312E-5</v>
          </cell>
          <cell r="G967">
            <v>9.8837956214037044E-4</v>
          </cell>
          <cell r="H967">
            <v>1.8110979999836718E-4</v>
          </cell>
          <cell r="I967">
            <v>5.0453781562611515E-4</v>
          </cell>
        </row>
        <row r="968">
          <cell r="A968" t="str">
            <v>D-RHNS_LTH_CHPWOD</v>
          </cell>
          <cell r="B968" t="str">
            <v>VAR_fout</v>
          </cell>
          <cell r="C968" t="str">
            <v>LTH</v>
          </cell>
          <cell r="H968">
            <v>2.4994034936114824E-6</v>
          </cell>
          <cell r="I968">
            <v>8.9430351504891996E-7</v>
          </cell>
        </row>
        <row r="969">
          <cell r="A969" t="str">
            <v>D-RHNS_LTH_CHPWOD</v>
          </cell>
          <cell r="B969" t="str">
            <v>VAR_fin</v>
          </cell>
          <cell r="C969" t="str">
            <v>RHNS_LTH_CHPWOD</v>
          </cell>
          <cell r="D969">
            <v>7.6708397037618411E-5</v>
          </cell>
          <cell r="E969">
            <v>8.8239000132074005E-5</v>
          </cell>
          <cell r="F969">
            <v>3.0445552227876299E-5</v>
          </cell>
          <cell r="G969">
            <v>9.8906907291991812E-4</v>
          </cell>
          <cell r="H969">
            <v>2.523006526860693E-3</v>
          </cell>
          <cell r="I969">
            <v>1.1254240218877304E-3</v>
          </cell>
        </row>
        <row r="970">
          <cell r="A970" t="str">
            <v>D-SBIO</v>
          </cell>
          <cell r="B970" t="str">
            <v>VAR_fout</v>
          </cell>
          <cell r="C970" t="str">
            <v>SBIO</v>
          </cell>
          <cell r="D970">
            <v>4.0476852414126991</v>
          </cell>
          <cell r="E970">
            <v>4.5833316072411998</v>
          </cell>
          <cell r="F970">
            <v>3.0417637181646247</v>
          </cell>
          <cell r="G970">
            <v>3.0320897198442722</v>
          </cell>
          <cell r="H970">
            <v>2.9496715730923984</v>
          </cell>
          <cell r="I970">
            <v>2.8713449196002001</v>
          </cell>
        </row>
        <row r="971">
          <cell r="A971" t="str">
            <v>D-SBIO</v>
          </cell>
          <cell r="B971" t="str">
            <v>VAR_fin</v>
          </cell>
          <cell r="C971" t="str">
            <v>BIO</v>
          </cell>
          <cell r="D971">
            <v>4.0476852414126991</v>
          </cell>
          <cell r="E971">
            <v>4.5833316072411998</v>
          </cell>
          <cell r="F971">
            <v>3.0417637181646247</v>
          </cell>
          <cell r="G971">
            <v>3.0320897198442722</v>
          </cell>
          <cell r="H971">
            <v>2.9496715730923984</v>
          </cell>
          <cell r="I971">
            <v>2.8713449196002001</v>
          </cell>
        </row>
        <row r="972">
          <cell r="A972" t="str">
            <v>RHEM-SHDEM</v>
          </cell>
          <cell r="B972" t="str">
            <v>VAR_fout</v>
          </cell>
          <cell r="C972" t="str">
            <v>RHEM-SHD</v>
          </cell>
          <cell r="D972">
            <v>66.986774791699034</v>
          </cell>
          <cell r="E972">
            <v>66.782026660973159</v>
          </cell>
          <cell r="F972">
            <v>66.336430490621538</v>
          </cell>
          <cell r="G972">
            <v>63.695463998224696</v>
          </cell>
          <cell r="H972">
            <v>59.520620431987687</v>
          </cell>
          <cell r="I972">
            <v>56.66130548093733</v>
          </cell>
        </row>
        <row r="973">
          <cell r="A973" t="str">
            <v>RHEM-SHDEM</v>
          </cell>
          <cell r="B973" t="str">
            <v>VAR_fin</v>
          </cell>
          <cell r="C973" t="str">
            <v>RHEM-SHNST</v>
          </cell>
          <cell r="D973">
            <v>1.2485702801291547E-4</v>
          </cell>
          <cell r="E973">
            <v>1.4193121783005765E-5</v>
          </cell>
          <cell r="F973">
            <v>1.359035436764965E-6</v>
          </cell>
          <cell r="G973">
            <v>2.3347563559201614E-6</v>
          </cell>
          <cell r="I973">
            <v>1.1379383157380828E-6</v>
          </cell>
        </row>
        <row r="974">
          <cell r="A974" t="str">
            <v>RHEM-SHDEM</v>
          </cell>
          <cell r="B974" t="str">
            <v>VAR_fin</v>
          </cell>
          <cell r="C974" t="str">
            <v>RHEM-SHPLT</v>
          </cell>
          <cell r="D974">
            <v>1.4009275739841085</v>
          </cell>
          <cell r="E974">
            <v>1.6077799692826382</v>
          </cell>
          <cell r="F974">
            <v>0.41368225965710587</v>
          </cell>
          <cell r="G974">
            <v>0.5034488978666718</v>
          </cell>
          <cell r="H974">
            <v>0.54392754305318625</v>
          </cell>
          <cell r="I974">
            <v>0.4307983107337206</v>
          </cell>
        </row>
        <row r="975">
          <cell r="A975" t="str">
            <v>RHEM-SHDEM</v>
          </cell>
          <cell r="B975" t="str">
            <v>VAR_fin</v>
          </cell>
          <cell r="C975" t="str">
            <v>RHEM-SHNGAH</v>
          </cell>
          <cell r="D975">
            <v>7.7661645369260095E-5</v>
          </cell>
          <cell r="E975">
            <v>1.9067235505114673E-5</v>
          </cell>
          <cell r="F975">
            <v>1.8406394619542243</v>
          </cell>
          <cell r="G975">
            <v>3.230958140972052</v>
          </cell>
          <cell r="H975">
            <v>5.030141001692904</v>
          </cell>
          <cell r="I975">
            <v>4.5473383015272963</v>
          </cell>
        </row>
        <row r="976">
          <cell r="A976" t="str">
            <v>RHEM-SHDEM</v>
          </cell>
          <cell r="B976" t="str">
            <v>VAR_fin</v>
          </cell>
          <cell r="C976" t="str">
            <v>RHEM-SHLTHC-WOD</v>
          </cell>
          <cell r="D976">
            <v>1.0507000476303343E-4</v>
          </cell>
          <cell r="E976">
            <v>1.6340899985889229E-5</v>
          </cell>
          <cell r="G976">
            <v>4.0737428212677393E-7</v>
          </cell>
          <cell r="I976">
            <v>1.3247389846917288E-6</v>
          </cell>
        </row>
        <row r="977">
          <cell r="A977" t="str">
            <v>RHEM-SHDEM</v>
          </cell>
          <cell r="B977" t="str">
            <v>VAR_fin</v>
          </cell>
          <cell r="C977" t="str">
            <v>RHEM-SHSOL</v>
          </cell>
          <cell r="D977">
            <v>0.40812002788836738</v>
          </cell>
          <cell r="E977">
            <v>0.47089892615525103</v>
          </cell>
          <cell r="F977">
            <v>9.5909317899168477E-3</v>
          </cell>
          <cell r="G977">
            <v>1.2382774507435947E-2</v>
          </cell>
          <cell r="H977">
            <v>1.448731865294094E-2</v>
          </cell>
          <cell r="I977">
            <v>1.4058099622926316E-2</v>
          </cell>
        </row>
        <row r="978">
          <cell r="A978" t="str">
            <v>RHEM-SHDEM</v>
          </cell>
          <cell r="B978" t="str">
            <v>VAR_fin</v>
          </cell>
          <cell r="C978" t="str">
            <v>RHEM-SHLTHD</v>
          </cell>
          <cell r="D978">
            <v>3.4021879755066258</v>
          </cell>
          <cell r="E978">
            <v>3.7887040963505139</v>
          </cell>
          <cell r="F978">
            <v>4.4197940927968382</v>
          </cell>
          <cell r="G978">
            <v>5.0374079410819474</v>
          </cell>
          <cell r="H978">
            <v>5.2125118752016792</v>
          </cell>
          <cell r="I978">
            <v>4.6504832748412364</v>
          </cell>
        </row>
        <row r="979">
          <cell r="A979" t="str">
            <v>RHEM-SHDEM</v>
          </cell>
          <cell r="B979" t="str">
            <v>VAR_fin</v>
          </cell>
          <cell r="C979" t="str">
            <v>RHEM-SHNGA</v>
          </cell>
          <cell r="D979">
            <v>18.999111899342232</v>
          </cell>
          <cell r="E979">
            <v>18.944396657817176</v>
          </cell>
          <cell r="F979">
            <v>21.220063324081959</v>
          </cell>
          <cell r="G979">
            <v>14.672405157786148</v>
          </cell>
          <cell r="H979">
            <v>3.2006374800707</v>
          </cell>
          <cell r="I979">
            <v>1.0277056956925503</v>
          </cell>
        </row>
        <row r="980">
          <cell r="A980" t="str">
            <v>RHEM-SHDEM</v>
          </cell>
          <cell r="B980" t="str">
            <v>VAR_fin</v>
          </cell>
          <cell r="C980" t="str">
            <v>RHEM-SHELCB</v>
          </cell>
          <cell r="D980">
            <v>4.6277843541787096</v>
          </cell>
          <cell r="E980">
            <v>3.1522604097063995</v>
          </cell>
          <cell r="F980">
            <v>3.6041635529455079E-2</v>
          </cell>
          <cell r="G980">
            <v>1.0320303043351979E-2</v>
          </cell>
          <cell r="H980">
            <v>2.1772814961442842E-3</v>
          </cell>
          <cell r="I980">
            <v>1.5030860165404817E-3</v>
          </cell>
        </row>
        <row r="981">
          <cell r="A981" t="str">
            <v>RHEM-SHDEM</v>
          </cell>
          <cell r="B981" t="str">
            <v>VAR_fin</v>
          </cell>
          <cell r="C981" t="str">
            <v>RHEM-SHELCH</v>
          </cell>
          <cell r="D981">
            <v>9.9022640188774353</v>
          </cell>
          <cell r="E981">
            <v>11.655175649917158</v>
          </cell>
          <cell r="F981">
            <v>10.448966931148954</v>
          </cell>
          <cell r="G981">
            <v>19.619671608293068</v>
          </cell>
          <cell r="H981">
            <v>28.584235738463317</v>
          </cell>
          <cell r="I981">
            <v>27.90211875464319</v>
          </cell>
        </row>
        <row r="982">
          <cell r="A982" t="str">
            <v>RHEM-SHDEM</v>
          </cell>
          <cell r="B982" t="str">
            <v>VAR_fin</v>
          </cell>
          <cell r="C982" t="str">
            <v>RHEM-SHLFO</v>
          </cell>
          <cell r="D982">
            <v>23.443435769344646</v>
          </cell>
          <cell r="E982">
            <v>19.064023105800153</v>
          </cell>
          <cell r="F982">
            <v>19.461447677810405</v>
          </cell>
          <cell r="G982">
            <v>9.712152953194968</v>
          </cell>
          <cell r="H982">
            <v>2.0417735609924943</v>
          </cell>
          <cell r="I982">
            <v>8.2063908615897532E-2</v>
          </cell>
        </row>
        <row r="983">
          <cell r="A983" t="str">
            <v>RHEM-SHDEM</v>
          </cell>
          <cell r="B983" t="str">
            <v>VAR_fin</v>
          </cell>
          <cell r="C983" t="str">
            <v>RHEM-SHCON</v>
          </cell>
          <cell r="D983">
            <v>1.1760107777568864E-2</v>
          </cell>
          <cell r="E983">
            <v>4.0732106564079977</v>
          </cell>
          <cell r="F983">
            <v>2.8630628261295685</v>
          </cell>
          <cell r="G983">
            <v>5.7208115846114929</v>
          </cell>
          <cell r="H983">
            <v>10.869658082449931</v>
          </cell>
          <cell r="I983">
            <v>15.424947232590515</v>
          </cell>
        </row>
        <row r="984">
          <cell r="A984" t="str">
            <v>RHEM-SHDEM</v>
          </cell>
          <cell r="B984" t="str">
            <v>VAR_fin</v>
          </cell>
          <cell r="C984" t="str">
            <v>RHEM-SHWOD</v>
          </cell>
          <cell r="D984">
            <v>4.7436810555065074</v>
          </cell>
          <cell r="E984">
            <v>3.9704904464623945</v>
          </cell>
          <cell r="F984">
            <v>5.6239877042596795</v>
          </cell>
          <cell r="G984">
            <v>5.1764810394110761</v>
          </cell>
          <cell r="H984">
            <v>4.0216309749177306</v>
          </cell>
          <cell r="I984">
            <v>2.580763049306769</v>
          </cell>
        </row>
        <row r="985">
          <cell r="A985" t="str">
            <v>RHEM-SHDEM</v>
          </cell>
          <cell r="B985" t="str">
            <v>VAR_fin</v>
          </cell>
          <cell r="C985" t="str">
            <v>RHEM-SHLTHC-NGA</v>
          </cell>
          <cell r="D985">
            <v>4.7887988336041735E-2</v>
          </cell>
          <cell r="E985">
            <v>5.5794787747581044E-2</v>
          </cell>
          <cell r="F985">
            <v>1.7896751545336046E-6</v>
          </cell>
          <cell r="G985">
            <v>3.0891353396820952E-7</v>
          </cell>
          <cell r="I985">
            <v>9.8807091411981076E-7</v>
          </cell>
        </row>
        <row r="986">
          <cell r="A986" t="str">
            <v>ITOT-SWHH2BR</v>
          </cell>
          <cell r="B986" t="str">
            <v>VAR_fout</v>
          </cell>
          <cell r="C986" t="str">
            <v>ITOT-SWH</v>
          </cell>
          <cell r="G986">
            <v>1.9253971967288914E-2</v>
          </cell>
          <cell r="H986">
            <v>3.8990125029736586</v>
          </cell>
          <cell r="I986">
            <v>15.361460793344596</v>
          </cell>
        </row>
        <row r="987">
          <cell r="A987" t="str">
            <v>ITOT-SWHH2BR</v>
          </cell>
          <cell r="B987" t="str">
            <v>VAR_fin</v>
          </cell>
          <cell r="C987" t="str">
            <v>IH2</v>
          </cell>
          <cell r="G987">
            <v>2.3917878626795241E-2</v>
          </cell>
          <cell r="H987">
            <v>4.8223685232159461</v>
          </cell>
          <cell r="I987">
            <v>18.916900370566285</v>
          </cell>
        </row>
        <row r="988">
          <cell r="A988" t="str">
            <v>ITOT-SWHH2BR</v>
          </cell>
          <cell r="B988" t="str">
            <v>VAR_ncap</v>
          </cell>
          <cell r="C988" t="str">
            <v>-</v>
          </cell>
          <cell r="G988">
            <v>1.2727124359430901E-3</v>
          </cell>
          <cell r="H988">
            <v>4.6033721352319902E-2</v>
          </cell>
          <cell r="I988">
            <v>1.08603662282</v>
          </cell>
        </row>
        <row r="989">
          <cell r="A989" t="str">
            <v>ITOT-SWHH2BR</v>
          </cell>
          <cell r="B989" t="str">
            <v>VAR_cap</v>
          </cell>
          <cell r="C989" t="str">
            <v>-</v>
          </cell>
          <cell r="G989">
            <v>1.2727124359430901E-3</v>
          </cell>
          <cell r="H989">
            <v>0.35189861520112847</v>
          </cell>
          <cell r="I989">
            <v>1.248454206974996</v>
          </cell>
        </row>
        <row r="990">
          <cell r="A990" t="str">
            <v>RHNS-SHSTG-ELC</v>
          </cell>
          <cell r="B990" t="str">
            <v>VAR_fout</v>
          </cell>
          <cell r="C990" t="str">
            <v>RHNS-SHAELCB</v>
          </cell>
          <cell r="E990">
            <v>5.0641793356300763E-6</v>
          </cell>
          <cell r="F990">
            <v>1.0833439773249936E-3</v>
          </cell>
          <cell r="G990">
            <v>1.7186086086855073E-3</v>
          </cell>
          <cell r="H990">
            <v>2.0430651472485217E-3</v>
          </cell>
          <cell r="I990">
            <v>8.9160485466541065E-4</v>
          </cell>
        </row>
        <row r="991">
          <cell r="A991" t="str">
            <v>RHNS-SHSTG-ELC</v>
          </cell>
          <cell r="B991" t="str">
            <v>VAR_fin</v>
          </cell>
          <cell r="C991" t="str">
            <v>RHNS-SHAELCB</v>
          </cell>
          <cell r="E991">
            <v>8.8270028475850065E-7</v>
          </cell>
          <cell r="F991">
            <v>1.0777264525956968E-3</v>
          </cell>
          <cell r="G991">
            <v>1.7138521717254534E-3</v>
          </cell>
          <cell r="H991">
            <v>2.0413532136475078E-3</v>
          </cell>
          <cell r="I991">
            <v>8.9171188852200532E-4</v>
          </cell>
        </row>
        <row r="992">
          <cell r="A992" t="str">
            <v>RHNS-SHSTG-ELC</v>
          </cell>
          <cell r="B992" t="str">
            <v>VAR_ncap</v>
          </cell>
          <cell r="C992" t="str">
            <v>-</v>
          </cell>
          <cell r="D992">
            <v>2.5781607874605201E-5</v>
          </cell>
          <cell r="E992">
            <v>1.8719685059586199E-4</v>
          </cell>
          <cell r="F992">
            <v>6.9088192857248503E-4</v>
          </cell>
          <cell r="G992">
            <v>1.3038574705858801E-5</v>
          </cell>
          <cell r="H992">
            <v>1.3695072471485599E-4</v>
          </cell>
          <cell r="I992">
            <v>2.01647159646027E-5</v>
          </cell>
        </row>
        <row r="993">
          <cell r="A993" t="str">
            <v>RHNS-SHSTG-ELC</v>
          </cell>
          <cell r="B993" t="str">
            <v>VAR_cap</v>
          </cell>
          <cell r="C993" t="str">
            <v>-</v>
          </cell>
          <cell r="D993">
            <v>2.5781607874605201E-5</v>
          </cell>
          <cell r="E993">
            <v>2.0870694919874385E-4</v>
          </cell>
          <cell r="F993">
            <v>8.9561904135372237E-4</v>
          </cell>
          <cell r="G993">
            <v>8.9558718363131826E-4</v>
          </cell>
          <cell r="H993">
            <v>2.7329227104514776E-4</v>
          </cell>
          <cell r="I993">
            <v>1.1603034946043601E-4</v>
          </cell>
        </row>
        <row r="994">
          <cell r="A994" t="str">
            <v>RHES-SHCOABR</v>
          </cell>
          <cell r="B994" t="str">
            <v>VAR_fout</v>
          </cell>
          <cell r="C994" t="str">
            <v>CO2_R</v>
          </cell>
          <cell r="D994">
            <v>9.2704652073329701</v>
          </cell>
          <cell r="E994">
            <v>9.2702397763347104</v>
          </cell>
          <cell r="F994">
            <v>2.40310287792264</v>
          </cell>
          <cell r="G994">
            <v>4.3282398721534401E-2</v>
          </cell>
        </row>
        <row r="995">
          <cell r="A995" t="str">
            <v>RHES-SHCOABR</v>
          </cell>
          <cell r="B995" t="str">
            <v>VAR_fout</v>
          </cell>
          <cell r="C995" t="str">
            <v>RHES-SHCOA</v>
          </cell>
          <cell r="D995">
            <v>7.2003613260838595E-2</v>
          </cell>
          <cell r="E995">
            <v>7.2001862340463768E-2</v>
          </cell>
          <cell r="F995">
            <v>2.0720850640439076E-2</v>
          </cell>
          <cell r="G995">
            <v>3.7352663405854872E-4</v>
          </cell>
        </row>
        <row r="996">
          <cell r="A996" t="str">
            <v>RHES-SHCOABR</v>
          </cell>
          <cell r="B996" t="str">
            <v>VAR_fin</v>
          </cell>
          <cell r="C996" t="str">
            <v>RCOA</v>
          </cell>
          <cell r="D996">
            <v>0.10000501841783141</v>
          </cell>
          <cell r="E996">
            <v>0.10000258658397747</v>
          </cell>
          <cell r="F996">
            <v>2.5923439891290635E-2</v>
          </cell>
          <cell r="G996">
            <v>4.6690829257318604E-4</v>
          </cell>
        </row>
        <row r="997">
          <cell r="A997" t="str">
            <v>RHES-SHCOABR</v>
          </cell>
          <cell r="B997" t="str">
            <v>VAR_cap</v>
          </cell>
          <cell r="C997" t="str">
            <v>-</v>
          </cell>
          <cell r="D997">
            <v>7.0000000000000001E-3</v>
          </cell>
          <cell r="E997">
            <v>6.3286958034705302E-3</v>
          </cell>
          <cell r="F997">
            <v>2.0283828260642704E-3</v>
          </cell>
          <cell r="G997">
            <v>5.1799619140520045E-5</v>
          </cell>
        </row>
        <row r="998">
          <cell r="A998" t="str">
            <v>D-INGA</v>
          </cell>
          <cell r="B998" t="str">
            <v>VAR_fout</v>
          </cell>
          <cell r="C998" t="str">
            <v>CO2</v>
          </cell>
          <cell r="D998">
            <v>2101.4659029520699</v>
          </cell>
          <cell r="E998">
            <v>1712.26856998721</v>
          </cell>
          <cell r="F998">
            <v>1818.92425186937</v>
          </cell>
          <cell r="G998">
            <v>1280.3234489359199</v>
          </cell>
          <cell r="H998">
            <v>771.24238585446903</v>
          </cell>
          <cell r="I998">
            <v>115.419987734871</v>
          </cell>
        </row>
        <row r="999">
          <cell r="A999" t="str">
            <v>D-INGA</v>
          </cell>
          <cell r="B999" t="str">
            <v>VAR_fout</v>
          </cell>
          <cell r="C999" t="str">
            <v>IH2</v>
          </cell>
          <cell r="G999">
            <v>2.5832097161410536E-2</v>
          </cell>
          <cell r="H999">
            <v>0.22048455508477854</v>
          </cell>
          <cell r="I999">
            <v>0.14991582818302626</v>
          </cell>
        </row>
        <row r="1000">
          <cell r="A1000" t="str">
            <v>D-INGA</v>
          </cell>
          <cell r="B1000" t="str">
            <v>VAR_fout</v>
          </cell>
          <cell r="C1000" t="str">
            <v>INGA</v>
          </cell>
          <cell r="D1000">
            <v>37.470446222307181</v>
          </cell>
          <cell r="E1000">
            <v>30.262670621591631</v>
          </cell>
          <cell r="F1000">
            <v>34.885870011250127</v>
          </cell>
          <cell r="G1000">
            <v>25.434386386653909</v>
          </cell>
          <cell r="H1000">
            <v>16.436219199804317</v>
          </cell>
          <cell r="I1000">
            <v>4.8453715497322438</v>
          </cell>
        </row>
        <row r="1001">
          <cell r="A1001" t="str">
            <v>D-INGA</v>
          </cell>
          <cell r="B1001" t="str">
            <v>VAR_fin</v>
          </cell>
          <cell r="C1001" t="str">
            <v>NGA</v>
          </cell>
          <cell r="D1001">
            <v>37.260033740284868</v>
          </cell>
          <cell r="E1001">
            <v>30.359371808283917</v>
          </cell>
          <cell r="F1001">
            <v>32.250429997683931</v>
          </cell>
          <cell r="G1001">
            <v>22.700770371204143</v>
          </cell>
          <cell r="H1001">
            <v>13.674510387490571</v>
          </cell>
          <cell r="I1001">
            <v>2.0464536832424018</v>
          </cell>
        </row>
        <row r="1002">
          <cell r="A1002" t="str">
            <v>D-INGA</v>
          </cell>
          <cell r="B1002" t="str">
            <v>VAR_fin</v>
          </cell>
          <cell r="C1002" t="str">
            <v>BNGA</v>
          </cell>
          <cell r="D1002">
            <v>0.33011630349750809</v>
          </cell>
          <cell r="E1002">
            <v>4.9481535029329667E-5</v>
          </cell>
          <cell r="F1002">
            <v>2.7468870972507311</v>
          </cell>
          <cell r="G1002">
            <v>2.8150554980637281</v>
          </cell>
          <cell r="H1002">
            <v>2.8150567270165405</v>
          </cell>
          <cell r="I1002">
            <v>2.8150572967247003</v>
          </cell>
        </row>
        <row r="1003">
          <cell r="A1003" t="str">
            <v>D-INGA</v>
          </cell>
          <cell r="B1003" t="str">
            <v>VAR_fin</v>
          </cell>
          <cell r="C1003" t="str">
            <v>H2</v>
          </cell>
          <cell r="G1003">
            <v>2.5830910353100152E-2</v>
          </cell>
          <cell r="H1003">
            <v>0.22048437956068118</v>
          </cell>
          <cell r="I1003">
            <v>0.14991566171940898</v>
          </cell>
        </row>
        <row r="1004">
          <cell r="A1004" t="str">
            <v>D-INGA</v>
          </cell>
          <cell r="B1004" t="str">
            <v>VAR_ncap</v>
          </cell>
          <cell r="C1004" t="str">
            <v>-</v>
          </cell>
          <cell r="D1004">
            <v>5.6669069079969896E-7</v>
          </cell>
          <cell r="E1004">
            <v>2.4662522685147799E-7</v>
          </cell>
          <cell r="F1004">
            <v>3.2423052783516802E-7</v>
          </cell>
          <cell r="G1004">
            <v>4.8846653862179505E-7</v>
          </cell>
          <cell r="H1004">
            <v>1.4204261516483299E-6</v>
          </cell>
          <cell r="I1004">
            <v>5.9370773476093999E-6</v>
          </cell>
        </row>
        <row r="1005">
          <cell r="A1005" t="str">
            <v>D-INGA</v>
          </cell>
          <cell r="B1005" t="str">
            <v>VAR_cap</v>
          </cell>
          <cell r="C1005" t="str">
            <v>-</v>
          </cell>
          <cell r="D1005">
            <v>1.9844839369567908</v>
          </cell>
          <cell r="E1005">
            <v>1.9844841835820177</v>
          </cell>
          <cell r="F1005">
            <v>1.9844845078125455</v>
          </cell>
          <cell r="G1005">
            <v>1.984484996279084</v>
          </cell>
          <cell r="H1005">
            <v>1.9844873142418848</v>
          </cell>
          <cell r="I1005">
            <v>1.0954693184990525</v>
          </cell>
        </row>
        <row r="1006">
          <cell r="A1006" t="str">
            <v>RHEM-SHNGAHP</v>
          </cell>
          <cell r="B1006" t="str">
            <v>VAR_fout</v>
          </cell>
          <cell r="C1006" t="str">
            <v>CO2_R</v>
          </cell>
          <cell r="F1006">
            <v>54.730126256272499</v>
          </cell>
          <cell r="G1006">
            <v>92.830286228719402</v>
          </cell>
          <cell r="H1006">
            <v>139.20999604576701</v>
          </cell>
          <cell r="I1006">
            <v>120.40024713935701</v>
          </cell>
        </row>
        <row r="1007">
          <cell r="A1007" t="str">
            <v>RHEM-SHNGAHP</v>
          </cell>
          <cell r="B1007" t="str">
            <v>VAR_fout</v>
          </cell>
          <cell r="C1007" t="str">
            <v>RHEM-SHANGAH</v>
          </cell>
          <cell r="F1007">
            <v>1.8406674615845211</v>
          </cell>
          <cell r="G1007">
            <v>3.2309859405348855</v>
          </cell>
          <cell r="H1007">
            <v>5.030152073293471</v>
          </cell>
          <cell r="I1007">
            <v>4.5473512012355348</v>
          </cell>
        </row>
        <row r="1008">
          <cell r="A1008" t="str">
            <v>RHEM-SHNGAHP</v>
          </cell>
          <cell r="B1008" t="str">
            <v>VAR_fin</v>
          </cell>
          <cell r="C1008" t="str">
            <v>RHEMELCHPC</v>
          </cell>
          <cell r="F1008">
            <v>1.8406674615845211</v>
          </cell>
          <cell r="G1008">
            <v>3.2309859405348855</v>
          </cell>
          <cell r="H1008">
            <v>5.030152073293471</v>
          </cell>
          <cell r="I1008">
            <v>4.5473512012355348</v>
          </cell>
        </row>
        <row r="1009">
          <cell r="A1009" t="str">
            <v>RHEM-SHNGAHP</v>
          </cell>
          <cell r="B1009" t="str">
            <v>VAR_fin</v>
          </cell>
          <cell r="C1009" t="str">
            <v>RNGA</v>
          </cell>
          <cell r="F1009">
            <v>0.97039230950837885</v>
          </cell>
          <cell r="G1009">
            <v>1.6459270607928975</v>
          </cell>
          <cell r="H1009">
            <v>2.4682623412369979</v>
          </cell>
          <cell r="I1009">
            <v>2.1347561549531338</v>
          </cell>
        </row>
        <row r="1010">
          <cell r="A1010" t="str">
            <v>RHEM-SHNGAHP</v>
          </cell>
          <cell r="B1010" t="str">
            <v>VAR_ncap</v>
          </cell>
          <cell r="C1010" t="str">
            <v>-</v>
          </cell>
          <cell r="D1010">
            <v>4.8657969724965803E-8</v>
          </cell>
          <cell r="E1010">
            <v>8.6628671197957303E-8</v>
          </cell>
          <cell r="F1010">
            <v>0.12998690550101499</v>
          </cell>
          <cell r="G1010">
            <v>9.8167962301355702E-2</v>
          </cell>
          <cell r="H1010">
            <v>0.20675632126645399</v>
          </cell>
          <cell r="I1010">
            <v>0.14689934375417901</v>
          </cell>
        </row>
        <row r="1011">
          <cell r="A1011" t="str">
            <v>RHEM-SHNGAHP</v>
          </cell>
          <cell r="B1011" t="str">
            <v>VAR_cap</v>
          </cell>
          <cell r="C1011" t="str">
            <v>-</v>
          </cell>
          <cell r="D1011">
            <v>4.8657969724965803E-8</v>
          </cell>
          <cell r="E1011">
            <v>-1.4468901188205503E-7</v>
          </cell>
          <cell r="F1011">
            <v>0.12998688787419527</v>
          </cell>
          <cell r="G1011">
            <v>0.22815485998245885</v>
          </cell>
          <cell r="H1011">
            <v>0.35529912010880049</v>
          </cell>
          <cell r="I1011">
            <v>0.32168263661118729</v>
          </cell>
        </row>
        <row r="1012">
          <cell r="A1012" t="str">
            <v>D-SPLT</v>
          </cell>
          <cell r="B1012" t="str">
            <v>VAR_fout</v>
          </cell>
          <cell r="C1012" t="str">
            <v>SPLT</v>
          </cell>
          <cell r="D1012">
            <v>2.0856385008996914</v>
          </cell>
          <cell r="E1012">
            <v>2.4000947971937161</v>
          </cell>
          <cell r="F1012">
            <v>0.99273747386311573</v>
          </cell>
          <cell r="G1012">
            <v>1.2286335989559629</v>
          </cell>
          <cell r="H1012">
            <v>1.4702029585535055</v>
          </cell>
          <cell r="I1012">
            <v>1.2351741255803015</v>
          </cell>
        </row>
        <row r="1013">
          <cell r="A1013" t="str">
            <v>D-SPLT</v>
          </cell>
          <cell r="B1013" t="str">
            <v>VAR_fin</v>
          </cell>
          <cell r="C1013" t="str">
            <v>PLT</v>
          </cell>
          <cell r="D1013">
            <v>2.0856385008996914</v>
          </cell>
          <cell r="E1013">
            <v>2.4000947971937161</v>
          </cell>
          <cell r="F1013">
            <v>0.99273747386311573</v>
          </cell>
          <cell r="G1013">
            <v>1.2286335989559629</v>
          </cell>
          <cell r="H1013">
            <v>1.4702029585535055</v>
          </cell>
          <cell r="I1013">
            <v>1.2351741255803015</v>
          </cell>
        </row>
        <row r="1014">
          <cell r="A1014" t="str">
            <v>RHES-SHCONBR</v>
          </cell>
          <cell r="B1014" t="str">
            <v>VAR_fout</v>
          </cell>
          <cell r="C1014" t="str">
            <v>RHES-SHCON</v>
          </cell>
          <cell r="F1014">
            <v>5.262212757728987E-5</v>
          </cell>
          <cell r="G1014">
            <v>3.3997747134501232E-5</v>
          </cell>
          <cell r="H1014">
            <v>5.657027341709146E-5</v>
          </cell>
          <cell r="I1014">
            <v>5.9897646976849271E-5</v>
          </cell>
        </row>
        <row r="1015">
          <cell r="A1015" t="str">
            <v>RHES-SHCONBR</v>
          </cell>
          <cell r="B1015" t="str">
            <v>VAR_fin</v>
          </cell>
          <cell r="C1015" t="str">
            <v>CON</v>
          </cell>
          <cell r="F1015">
            <v>5.262212757728987E-5</v>
          </cell>
          <cell r="G1015">
            <v>3.3997747134501232E-5</v>
          </cell>
          <cell r="H1015">
            <v>5.657027341709146E-5</v>
          </cell>
          <cell r="I1015">
            <v>5.9897646976849271E-5</v>
          </cell>
        </row>
        <row r="1016">
          <cell r="A1016" t="str">
            <v>RHES-SHCONBR</v>
          </cell>
          <cell r="B1016" t="str">
            <v>VAR_ncap</v>
          </cell>
          <cell r="C1016" t="str">
            <v>-</v>
          </cell>
          <cell r="E1016">
            <v>1.5239611566200101E-8</v>
          </cell>
          <cell r="F1016">
            <v>4.2683644154420703E-8</v>
          </cell>
          <cell r="G1016">
            <v>3.0707249238177798E-8</v>
          </cell>
          <cell r="H1016">
            <v>1.9120622163914301E-7</v>
          </cell>
          <cell r="I1016">
            <v>1.1467739557645199E-6</v>
          </cell>
        </row>
        <row r="1017">
          <cell r="A1017" t="str">
            <v>RHES-SHCONBR</v>
          </cell>
          <cell r="B1017" t="str">
            <v>VAR_cap</v>
          </cell>
          <cell r="C1017" t="str">
            <v>-</v>
          </cell>
          <cell r="E1017">
            <v>1.5239611566200101E-8</v>
          </cell>
          <cell r="F1017">
            <v>4.2469385002557598E-8</v>
          </cell>
          <cell r="G1017">
            <v>6.2249695304610793E-8</v>
          </cell>
          <cell r="H1017">
            <v>1.1151170240665783E-6</v>
          </cell>
          <cell r="I1017">
            <v>2.3302181048038599E-6</v>
          </cell>
        </row>
        <row r="1018">
          <cell r="A1018" t="str">
            <v>RHSA-WHSOLBR</v>
          </cell>
          <cell r="B1018" t="str">
            <v>VAR_fout</v>
          </cell>
          <cell r="C1018" t="str">
            <v>RHSA-WHASOL</v>
          </cell>
          <cell r="D1018">
            <v>1.721488024659851</v>
          </cell>
          <cell r="E1018">
            <v>1.9867483828011214</v>
          </cell>
          <cell r="F1018">
            <v>0.94931394659984669</v>
          </cell>
          <cell r="G1018">
            <v>1.2547818530246437</v>
          </cell>
          <cell r="H1018">
            <v>1.7526397633057444</v>
          </cell>
          <cell r="I1018">
            <v>1.9933593135726473</v>
          </cell>
        </row>
        <row r="1019">
          <cell r="A1019" t="str">
            <v>RHSA-WHSOLBR</v>
          </cell>
          <cell r="B1019" t="str">
            <v>VAR_fin</v>
          </cell>
          <cell r="C1019" t="str">
            <v>SOL</v>
          </cell>
          <cell r="D1019">
            <v>1.721488024659851</v>
          </cell>
          <cell r="E1019">
            <v>1.9867483828011214</v>
          </cell>
          <cell r="F1019">
            <v>0.94931394659984669</v>
          </cell>
          <cell r="G1019">
            <v>1.2547818530246437</v>
          </cell>
          <cell r="H1019">
            <v>1.7526397633057444</v>
          </cell>
          <cell r="I1019">
            <v>1.9933593135726473</v>
          </cell>
        </row>
        <row r="1020">
          <cell r="A1020" t="str">
            <v>RHSA-WHSOLBR</v>
          </cell>
          <cell r="B1020" t="str">
            <v>VAR_fin</v>
          </cell>
          <cell r="C1020" t="str">
            <v>RHSASOLBRC</v>
          </cell>
          <cell r="D1020">
            <v>1.721488024659851</v>
          </cell>
          <cell r="E1020">
            <v>1.9867483828011214</v>
          </cell>
          <cell r="F1020">
            <v>0.94931394659984669</v>
          </cell>
          <cell r="G1020">
            <v>1.2547818530246437</v>
          </cell>
          <cell r="H1020">
            <v>1.7526397633057444</v>
          </cell>
          <cell r="I1020">
            <v>1.9933593135726473</v>
          </cell>
        </row>
        <row r="1021">
          <cell r="A1021" t="str">
            <v>RHSA-WHSOLBR</v>
          </cell>
          <cell r="B1021" t="str">
            <v>VAR_ncap</v>
          </cell>
          <cell r="C1021" t="str">
            <v>-</v>
          </cell>
          <cell r="E1021">
            <v>8.2502154653493601E-2</v>
          </cell>
          <cell r="F1021">
            <v>2.64031428881772E-7</v>
          </cell>
          <cell r="G1021">
            <v>7.3553353516839701E-7</v>
          </cell>
          <cell r="H1021">
            <v>0.219223057767782</v>
          </cell>
          <cell r="I1021">
            <v>0.25660450377188498</v>
          </cell>
        </row>
        <row r="1022">
          <cell r="A1022" t="str">
            <v>RHSA-WHSOLBR</v>
          </cell>
          <cell r="B1022" t="str">
            <v>VAR_cap</v>
          </cell>
          <cell r="C1022" t="str">
            <v>-</v>
          </cell>
          <cell r="D1022">
            <v>0.25000991745774798</v>
          </cell>
          <cell r="E1022">
            <v>0.33251200541311637</v>
          </cell>
          <cell r="F1022">
            <v>0.33251131972572401</v>
          </cell>
          <cell r="G1022">
            <v>0.33251230696146505</v>
          </cell>
          <cell r="H1022">
            <v>0.47528668304104815</v>
          </cell>
          <cell r="I1022">
            <v>0.52401532425799047</v>
          </cell>
        </row>
        <row r="1023">
          <cell r="A1023" t="str">
            <v>SCOM-SHCONBR</v>
          </cell>
          <cell r="B1023" t="str">
            <v>VAR_ncap</v>
          </cell>
          <cell r="C1023" t="str">
            <v>-</v>
          </cell>
          <cell r="E1023">
            <v>1.29084318241917E-8</v>
          </cell>
          <cell r="F1023">
            <v>1.04310653405176E-8</v>
          </cell>
          <cell r="H1023">
            <v>1.24913739375611E-7</v>
          </cell>
          <cell r="I1023">
            <v>2.1431622043035399E-7</v>
          </cell>
        </row>
        <row r="1024">
          <cell r="A1024" t="str">
            <v>SCOM-SHCONBR</v>
          </cell>
          <cell r="B1024" t="str">
            <v>VAR_cap</v>
          </cell>
          <cell r="C1024" t="str">
            <v>-</v>
          </cell>
          <cell r="E1024">
            <v>1.29084318241917E-8</v>
          </cell>
          <cell r="F1024">
            <v>1.839511625164401E-9</v>
          </cell>
          <cell r="G1024">
            <v>-7.9634339119869002E-9</v>
          </cell>
          <cell r="H1024">
            <v>6.6012686220403496E-7</v>
          </cell>
          <cell r="I1024">
            <v>8.7444308263439003E-7</v>
          </cell>
        </row>
        <row r="1025">
          <cell r="A1025" t="str">
            <v>RHNM-SHNGABR</v>
          </cell>
          <cell r="B1025" t="str">
            <v>VAR_fout</v>
          </cell>
          <cell r="C1025" t="str">
            <v>CO2_R</v>
          </cell>
          <cell r="E1025">
            <v>43.099194537627099</v>
          </cell>
          <cell r="F1025">
            <v>5.7825150955634701</v>
          </cell>
          <cell r="G1025">
            <v>6.4605185513886401</v>
          </cell>
          <cell r="H1025">
            <v>3.3774058782595602</v>
          </cell>
        </row>
        <row r="1026">
          <cell r="A1026" t="str">
            <v>RHNM-SHNGABR</v>
          </cell>
          <cell r="B1026" t="str">
            <v>VAR_fout</v>
          </cell>
          <cell r="C1026" t="str">
            <v>RHNM-SHNGA</v>
          </cell>
          <cell r="E1026">
            <v>0.72596161011960603</v>
          </cell>
          <cell r="F1026">
            <v>9.8412163155794541E-2</v>
          </cell>
          <cell r="G1026">
            <v>0.10995104988797975</v>
          </cell>
          <cell r="H1026">
            <v>5.747995798563816E-2</v>
          </cell>
        </row>
        <row r="1027">
          <cell r="A1027" t="str">
            <v>RHNM-SHNGABR</v>
          </cell>
          <cell r="B1027" t="str">
            <v>VAR_fin</v>
          </cell>
          <cell r="C1027" t="str">
            <v>RNGA</v>
          </cell>
          <cell r="E1027">
            <v>0.76417011591537487</v>
          </cell>
          <cell r="F1027">
            <v>0.10252686339651555</v>
          </cell>
          <cell r="G1027">
            <v>0.11454820126575604</v>
          </cell>
          <cell r="H1027">
            <v>5.9883082947864603E-2</v>
          </cell>
        </row>
        <row r="1028">
          <cell r="A1028" t="str">
            <v>RHNM-SHNGABR</v>
          </cell>
          <cell r="B1028" t="str">
            <v>VAR_ncap</v>
          </cell>
          <cell r="C1028" t="str">
            <v>-</v>
          </cell>
          <cell r="E1028">
            <v>5.6365352855407801E-2</v>
          </cell>
          <cell r="F1028">
            <v>2.4745423015754299E-7</v>
          </cell>
          <cell r="G1028">
            <v>5.8378514521381095E-7</v>
          </cell>
          <cell r="H1028">
            <v>4.4760834993746099E-3</v>
          </cell>
          <cell r="I1028">
            <v>1.58250999856061E-7</v>
          </cell>
        </row>
        <row r="1029">
          <cell r="A1029" t="str">
            <v>RHNM-SHNGABR</v>
          </cell>
          <cell r="B1029" t="str">
            <v>VAR_cap</v>
          </cell>
          <cell r="C1029" t="str">
            <v>-</v>
          </cell>
          <cell r="E1029">
            <v>5.6365352855407801E-2</v>
          </cell>
          <cell r="F1029">
            <v>1.73327932045097E-2</v>
          </cell>
          <cell r="G1029">
            <v>1.7260428017314797E-2</v>
          </cell>
          <cell r="H1029">
            <v>4.4867846342150847E-3</v>
          </cell>
          <cell r="I1029">
            <v>5.5806507838597821E-6</v>
          </cell>
        </row>
        <row r="1030">
          <cell r="A1030" t="str">
            <v>RHES-SHSOLBR</v>
          </cell>
          <cell r="B1030" t="str">
            <v>VAR_fout</v>
          </cell>
          <cell r="C1030" t="str">
            <v>RHES-SHASOL</v>
          </cell>
          <cell r="D1030">
            <v>0.37732610756439694</v>
          </cell>
          <cell r="E1030">
            <v>0.43547627567836544</v>
          </cell>
          <cell r="F1030">
            <v>2.3168828075428579E-2</v>
          </cell>
          <cell r="G1030">
            <v>2.6500119150590775E-2</v>
          </cell>
          <cell r="H1030">
            <v>2.8272432137519184E-2</v>
          </cell>
          <cell r="I1030">
            <v>2.7748210653568573E-2</v>
          </cell>
        </row>
        <row r="1031">
          <cell r="A1031" t="str">
            <v>RHES-SHSOLBR</v>
          </cell>
          <cell r="B1031" t="str">
            <v>VAR_fin</v>
          </cell>
          <cell r="C1031" t="str">
            <v>SOL</v>
          </cell>
          <cell r="D1031">
            <v>0.37732610756439694</v>
          </cell>
          <cell r="E1031">
            <v>0.43547627567836544</v>
          </cell>
          <cell r="F1031">
            <v>2.3168828075428579E-2</v>
          </cell>
          <cell r="G1031">
            <v>2.6500119150590775E-2</v>
          </cell>
          <cell r="H1031">
            <v>2.8272432137519184E-2</v>
          </cell>
          <cell r="I1031">
            <v>2.7748210653568573E-2</v>
          </cell>
        </row>
        <row r="1032">
          <cell r="A1032" t="str">
            <v>RHES-SHSOLBR</v>
          </cell>
          <cell r="B1032" t="str">
            <v>VAR_ncap</v>
          </cell>
          <cell r="C1032" t="str">
            <v>-</v>
          </cell>
          <cell r="E1032">
            <v>8.4444623242927799E-3</v>
          </cell>
          <cell r="F1032">
            <v>7.4259363975940096E-8</v>
          </cell>
          <cell r="G1032">
            <v>1.2726325637416399E-7</v>
          </cell>
          <cell r="H1032">
            <v>4.1206851949104097E-3</v>
          </cell>
          <cell r="I1032">
            <v>1.04832749472364E-3</v>
          </cell>
        </row>
        <row r="1033">
          <cell r="A1033" t="str">
            <v>RHES-SHSOLBR</v>
          </cell>
          <cell r="B1033" t="str">
            <v>VAR_cap</v>
          </cell>
          <cell r="C1033" t="str">
            <v>-</v>
          </cell>
          <cell r="D1033">
            <v>5.4798678617278197E-2</v>
          </cell>
          <cell r="E1033">
            <v>6.3243111765749288E-2</v>
          </cell>
          <cell r="F1033">
            <v>6.3241904654012415E-2</v>
          </cell>
          <cell r="G1033">
            <v>6.3241238405115349E-2</v>
          </cell>
          <cell r="H1033">
            <v>4.1210143084899039E-3</v>
          </cell>
          <cell r="I1033">
            <v>4.0389363627932945E-3</v>
          </cell>
        </row>
        <row r="1034">
          <cell r="A1034" t="str">
            <v>SCOM-SHSOLBR</v>
          </cell>
          <cell r="B1034" t="str">
            <v>VAR_fout</v>
          </cell>
          <cell r="C1034" t="str">
            <v>SCOM-SHASOL</v>
          </cell>
          <cell r="D1034">
            <v>0.62700236351243477</v>
          </cell>
          <cell r="E1034">
            <v>0.68734756457837476</v>
          </cell>
          <cell r="F1034">
            <v>0.56684195491036959</v>
          </cell>
          <cell r="G1034">
            <v>0.77162206781883058</v>
          </cell>
          <cell r="H1034">
            <v>1.1384095173270821</v>
          </cell>
          <cell r="I1034">
            <v>1.3103178614295308</v>
          </cell>
        </row>
        <row r="1035">
          <cell r="A1035" t="str">
            <v>SCOM-SHSOLBR</v>
          </cell>
          <cell r="B1035" t="str">
            <v>VAR_fin</v>
          </cell>
          <cell r="C1035" t="str">
            <v>SOL</v>
          </cell>
          <cell r="D1035">
            <v>0.62700236351243477</v>
          </cell>
          <cell r="E1035">
            <v>0.68734756457837476</v>
          </cell>
          <cell r="F1035">
            <v>0.56684195491036959</v>
          </cell>
          <cell r="G1035">
            <v>0.77162206781883058</v>
          </cell>
          <cell r="H1035">
            <v>1.1384095173270821</v>
          </cell>
          <cell r="I1035">
            <v>1.3103178614295308</v>
          </cell>
        </row>
        <row r="1036">
          <cell r="A1036" t="str">
            <v>SCOM-SHSOLBR</v>
          </cell>
          <cell r="B1036" t="str">
            <v>VAR_ncap</v>
          </cell>
          <cell r="C1036" t="str">
            <v>-</v>
          </cell>
          <cell r="D1036">
            <v>9.2940689393354494E-6</v>
          </cell>
          <cell r="E1036">
            <v>8.7615164371959292E-3</v>
          </cell>
          <cell r="F1036">
            <v>5.0095672202772103E-7</v>
          </cell>
          <cell r="G1036">
            <v>1.27313949890164E-2</v>
          </cell>
          <cell r="H1036">
            <v>6.5646878428384001E-2</v>
          </cell>
          <cell r="I1036">
            <v>0.109788864432315</v>
          </cell>
        </row>
        <row r="1037">
          <cell r="A1037" t="str">
            <v>SCOM-SHSOLBR</v>
          </cell>
          <cell r="B1037" t="str">
            <v>VAR_cap</v>
          </cell>
          <cell r="C1037" t="str">
            <v>-</v>
          </cell>
          <cell r="D1037">
            <v>9.1066887545018835E-2</v>
          </cell>
          <cell r="E1037">
            <v>9.9828343312384299E-2</v>
          </cell>
          <cell r="F1037">
            <v>9.9828039633829871E-2</v>
          </cell>
          <cell r="G1037">
            <v>0.11255984930992451</v>
          </cell>
          <cell r="H1037">
            <v>0.16738629419308976</v>
          </cell>
          <cell r="I1037">
            <v>0.19678807999351633</v>
          </cell>
        </row>
        <row r="1038">
          <cell r="A1038" t="str">
            <v>RHEM-SHSTG-ELCHP</v>
          </cell>
          <cell r="B1038" t="str">
            <v>VAR_fout</v>
          </cell>
          <cell r="C1038" t="str">
            <v>RHEM-SHAELCH</v>
          </cell>
          <cell r="D1038">
            <v>6.8222483546459502E-7</v>
          </cell>
          <cell r="E1038">
            <v>1.4069670919297783E-6</v>
          </cell>
          <cell r="F1038">
            <v>0.38296605620943791</v>
          </cell>
          <cell r="G1038">
            <v>1.0669648807097214</v>
          </cell>
          <cell r="H1038">
            <v>0.61525845887210284</v>
          </cell>
          <cell r="I1038">
            <v>1.7148648228921632</v>
          </cell>
        </row>
        <row r="1039">
          <cell r="A1039" t="str">
            <v>RHEM-SHSTG-ELCHP</v>
          </cell>
          <cell r="B1039" t="str">
            <v>VAR_fin</v>
          </cell>
          <cell r="C1039" t="str">
            <v>RHEM-SHAELCH</v>
          </cell>
          <cell r="D1039">
            <v>2.5052107200484773E-5</v>
          </cell>
          <cell r="E1039">
            <v>1.6201313099462026E-5</v>
          </cell>
          <cell r="F1039">
            <v>0.38297876772926837</v>
          </cell>
          <cell r="G1039">
            <v>1.0669890379488209</v>
          </cell>
          <cell r="H1039">
            <v>0.61527659286539471</v>
          </cell>
          <cell r="I1039">
            <v>1.7149094127347115</v>
          </cell>
        </row>
        <row r="1040">
          <cell r="A1040" t="str">
            <v>RHEM-SHSTG-ELCHP</v>
          </cell>
          <cell r="B1040" t="str">
            <v>VAR_ncap</v>
          </cell>
          <cell r="C1040" t="str">
            <v>-</v>
          </cell>
          <cell r="D1040">
            <v>4.3104670158796302E-3</v>
          </cell>
          <cell r="E1040">
            <v>0.18935273446134901</v>
          </cell>
          <cell r="F1040">
            <v>2.60527277647893E-5</v>
          </cell>
          <cell r="G1040">
            <v>0.13233794223025899</v>
          </cell>
          <cell r="H1040">
            <v>0.22316067705363099</v>
          </cell>
          <cell r="I1040">
            <v>0.23178320979929001</v>
          </cell>
        </row>
        <row r="1041">
          <cell r="A1041" t="str">
            <v>RHEM-SHSTG-ELCHP</v>
          </cell>
          <cell r="B1041" t="str">
            <v>VAR_cap</v>
          </cell>
          <cell r="C1041" t="str">
            <v>-</v>
          </cell>
          <cell r="D1041">
            <v>4.3104670158796302E-3</v>
          </cell>
          <cell r="E1041">
            <v>0.1936504633765809</v>
          </cell>
          <cell r="F1041">
            <v>0.19365131721921752</v>
          </cell>
          <cell r="G1041">
            <v>0.32598354822403736</v>
          </cell>
          <cell r="H1041">
            <v>0.47876564768792512</v>
          </cell>
          <cell r="I1041">
            <v>0.46360727312103361</v>
          </cell>
        </row>
        <row r="1042">
          <cell r="A1042" t="str">
            <v>ITOT-SWHELCBR</v>
          </cell>
          <cell r="B1042" t="str">
            <v>VAR_fout</v>
          </cell>
          <cell r="C1042" t="str">
            <v>ITOT-SWHAELC</v>
          </cell>
          <cell r="D1042">
            <v>9.8139111005787019</v>
          </cell>
          <cell r="E1042">
            <v>10.335088255903569</v>
          </cell>
          <cell r="F1042">
            <v>10.335086107943797</v>
          </cell>
          <cell r="G1042">
            <v>10.335086318760048</v>
          </cell>
          <cell r="H1042">
            <v>10.335084849397605</v>
          </cell>
          <cell r="I1042">
            <v>10.335083002113688</v>
          </cell>
        </row>
        <row r="1043">
          <cell r="A1043" t="str">
            <v>ITOT-SWHELCBR</v>
          </cell>
          <cell r="B1043" t="str">
            <v>VAR_fin</v>
          </cell>
          <cell r="C1043" t="str">
            <v>ITOT_ELC</v>
          </cell>
          <cell r="D1043">
            <v>11.646963440263809</v>
          </cell>
          <cell r="E1043">
            <v>12.258984249865199</v>
          </cell>
          <cell r="F1043">
            <v>12.249241099766625</v>
          </cell>
          <cell r="G1043">
            <v>12.23304136477158</v>
          </cell>
          <cell r="H1043">
            <v>12.200767871084826</v>
          </cell>
          <cell r="I1043">
            <v>12.168663764605007</v>
          </cell>
        </row>
        <row r="1044">
          <cell r="A1044" t="str">
            <v>ITOT-SWHELCBR</v>
          </cell>
          <cell r="B1044" t="str">
            <v>VAR_ncap</v>
          </cell>
          <cell r="C1044" t="str">
            <v>-</v>
          </cell>
          <cell r="E1044">
            <v>0.18033990734296501</v>
          </cell>
          <cell r="F1044">
            <v>4.9764042395741201E-5</v>
          </cell>
          <cell r="G1044">
            <v>3.3729401280303498E-3</v>
          </cell>
          <cell r="H1044">
            <v>0.51276063922850401</v>
          </cell>
          <cell r="I1044">
            <v>0.28812265696332001</v>
          </cell>
        </row>
        <row r="1045">
          <cell r="A1045" t="str">
            <v>ITOT-SWHELCBR</v>
          </cell>
          <cell r="B1045" t="str">
            <v>VAR_cap</v>
          </cell>
          <cell r="C1045" t="str">
            <v>-</v>
          </cell>
          <cell r="D1045">
            <v>0.55644997413134401</v>
          </cell>
          <cell r="E1045">
            <v>0.73678725930910827</v>
          </cell>
          <cell r="F1045">
            <v>0.73683157654147491</v>
          </cell>
          <cell r="G1045">
            <v>0.74019347615977449</v>
          </cell>
          <cell r="H1045">
            <v>1.0552301590646982</v>
          </cell>
          <cell r="I1045">
            <v>0.88873330890740365</v>
          </cell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2040</v>
          </cell>
          <cell r="J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I4">
            <v>69.207605986136102</v>
          </cell>
          <cell r="J4">
            <v>14.351660154992883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I5">
            <v>1.4029959643319207E-2</v>
          </cell>
          <cell r="J5">
            <v>8.2494659925391647E-3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I6">
            <v>5.7228999375397294</v>
          </cell>
          <cell r="J6">
            <v>11.946878798407621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I7">
            <v>63.47067608895302</v>
          </cell>
          <cell r="J7">
            <v>2.3965318905927102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I8">
            <v>-72.212871750665869</v>
          </cell>
          <cell r="J8">
            <v>-55.583042600541141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I9">
            <v>694.61494703647861</v>
          </cell>
          <cell r="J9">
            <v>1152.3345879563826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I10">
            <v>736.75187718692894</v>
          </cell>
          <cell r="J10">
            <v>1099.497979410294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I11">
            <v>125.79888043790878</v>
          </cell>
          <cell r="J11">
            <v>715.09676216945456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I12">
            <v>0.27945735800204125</v>
          </cell>
          <cell r="J12">
            <v>37.972723768837078</v>
          </cell>
        </row>
        <row r="13">
          <cell r="B13" t="str">
            <v>CO2_O</v>
          </cell>
          <cell r="C13" t="str">
            <v>VAR_fout</v>
          </cell>
          <cell r="D13" t="str">
            <v>SUP_WSTHTGBIOCCS</v>
          </cell>
          <cell r="I13">
            <v>2.3627266439541304E-3</v>
          </cell>
          <cell r="J13">
            <v>3.1680892433392318E-3</v>
          </cell>
        </row>
        <row r="14">
          <cell r="B14" t="str">
            <v>CO2_O</v>
          </cell>
          <cell r="C14" t="str">
            <v>VAR_fout</v>
          </cell>
          <cell r="D14" t="str">
            <v>ITOT-CHPWODCCS</v>
          </cell>
          <cell r="I14">
            <v>333.69104187860518</v>
          </cell>
          <cell r="J14">
            <v>704.11576877599407</v>
          </cell>
        </row>
        <row r="15">
          <cell r="B15" t="str">
            <v>CO2_O</v>
          </cell>
          <cell r="C15" t="str">
            <v>VAR_fout</v>
          </cell>
          <cell r="D15" t="str">
            <v>EWOD-CCS</v>
          </cell>
          <cell r="I15">
            <v>0.12680718719603007</v>
          </cell>
          <cell r="J15">
            <v>0.79355327957681798</v>
          </cell>
        </row>
        <row r="16">
          <cell r="B16" t="str">
            <v>CO2_O</v>
          </cell>
          <cell r="C16" t="str">
            <v>VAR_fout</v>
          </cell>
          <cell r="D16" t="str">
            <v>ITOT-PROCESSCO2CCS</v>
          </cell>
          <cell r="I16">
            <v>3.621440488414493E-2</v>
          </cell>
          <cell r="J16">
            <v>1031.8877204971427</v>
          </cell>
        </row>
        <row r="17">
          <cell r="B17" t="str">
            <v>CO2_O</v>
          </cell>
          <cell r="C17" t="str">
            <v>VAR_fout</v>
          </cell>
          <cell r="D17" t="str">
            <v>SUP_WODH2CCS</v>
          </cell>
          <cell r="J17">
            <v>971.30462515719273</v>
          </cell>
        </row>
        <row r="18">
          <cell r="B18" t="str">
            <v>CO2_O</v>
          </cell>
          <cell r="C18" t="str">
            <v>VAR_fout</v>
          </cell>
          <cell r="D18" t="str">
            <v>SUP_WODBIOCCS</v>
          </cell>
          <cell r="I18">
            <v>1.2051576905902455E-2</v>
          </cell>
          <cell r="J18">
            <v>1.4288686561813001E-2</v>
          </cell>
        </row>
        <row r="19">
          <cell r="B19" t="str">
            <v>CO2_O</v>
          </cell>
          <cell r="C19" t="str">
            <v>VAR_fout</v>
          </cell>
          <cell r="D19" t="str">
            <v>SUP_NGAH2CCS</v>
          </cell>
          <cell r="J19">
            <v>14.474730597771334</v>
          </cell>
        </row>
        <row r="20">
          <cell r="B20" t="str">
            <v>CO2_O</v>
          </cell>
          <cell r="C20" t="str">
            <v>VAR_fout</v>
          </cell>
          <cell r="D20" t="str">
            <v>CT_CWODETHCCS</v>
          </cell>
          <cell r="I20">
            <v>1.2548817296998082E-3</v>
          </cell>
          <cell r="J20">
            <v>1.688757225183561E-3</v>
          </cell>
        </row>
        <row r="21">
          <cell r="B21" t="str">
            <v>CO2_O</v>
          </cell>
          <cell r="C21" t="str">
            <v>VAR_fout</v>
          </cell>
          <cell r="D21" t="str">
            <v>SUP_DAC</v>
          </cell>
          <cell r="I21">
            <v>2.8106686053595521E-3</v>
          </cell>
          <cell r="J21">
            <v>9.9542328361672539E-3</v>
          </cell>
        </row>
        <row r="22">
          <cell r="B22" t="str">
            <v>CO2_O</v>
          </cell>
          <cell r="C22" t="str">
            <v>VAR_fout</v>
          </cell>
          <cell r="D22" t="str">
            <v>CT_CWODBDSCCS</v>
          </cell>
          <cell r="I22">
            <v>9.9329309749504636E-3</v>
          </cell>
          <cell r="J22">
            <v>444.86983649063041</v>
          </cell>
        </row>
        <row r="23">
          <cell r="B23" t="str">
            <v>CO2_O</v>
          </cell>
          <cell r="C23" t="str">
            <v>VAR_fin</v>
          </cell>
          <cell r="D23" t="str">
            <v>D-CO2_O</v>
          </cell>
          <cell r="I23">
            <v>1891.297446949168</v>
          </cell>
          <cell r="J23">
            <v>6172.3407126659931</v>
          </cell>
        </row>
        <row r="24">
          <cell r="B24" t="str">
            <v>CO2_O</v>
          </cell>
          <cell r="C24" t="str">
            <v>EQ_combalM</v>
          </cell>
          <cell r="D24" t="str">
            <v>-</v>
          </cell>
          <cell r="I24">
            <v>-73.527696994360241</v>
          </cell>
          <cell r="J24">
            <v>-56.82801935274793</v>
          </cell>
        </row>
        <row r="25">
          <cell r="B25" t="str">
            <v>CO2_Q</v>
          </cell>
          <cell r="C25" t="str">
            <v>VAR_fout</v>
          </cell>
          <cell r="D25" t="str">
            <v>D-CO2_O</v>
          </cell>
          <cell r="I25">
            <v>833.34152175389818</v>
          </cell>
          <cell r="J25">
            <v>1904.7648029305308</v>
          </cell>
        </row>
        <row r="26">
          <cell r="B26" t="str">
            <v>CO2_Q</v>
          </cell>
          <cell r="C26" t="str">
            <v>VAR_fin</v>
          </cell>
          <cell r="D26" t="str">
            <v>CO2SINK</v>
          </cell>
          <cell r="I26">
            <v>833.34152175389818</v>
          </cell>
          <cell r="J26">
            <v>1904.7648029305308</v>
          </cell>
        </row>
        <row r="27">
          <cell r="B27" t="str">
            <v>CO2_Q</v>
          </cell>
          <cell r="C27" t="str">
            <v>EQ_combalM</v>
          </cell>
          <cell r="D27" t="str">
            <v>-</v>
          </cell>
          <cell r="I27">
            <v>-72.212871750665869</v>
          </cell>
          <cell r="J27">
            <v>-55.583042600541141</v>
          </cell>
        </row>
        <row r="28">
          <cell r="B28" t="str">
            <v>CO2_R</v>
          </cell>
          <cell r="C28" t="str">
            <v>VAR_fout</v>
          </cell>
          <cell r="D28" t="str">
            <v>RHNM-SHLFOBR</v>
          </cell>
          <cell r="F28">
            <v>7.7883172866152805E-4</v>
          </cell>
          <cell r="G28">
            <v>3.8240573703831302</v>
          </cell>
          <cell r="H28">
            <v>4.4222113666957403</v>
          </cell>
          <cell r="I28">
            <v>2.2734669798254998</v>
          </cell>
        </row>
        <row r="29">
          <cell r="B29" t="str">
            <v>CO2_R</v>
          </cell>
          <cell r="C29" t="str">
            <v>VAR_fout</v>
          </cell>
          <cell r="D29" t="str">
            <v>RHNS-SHNGAHP</v>
          </cell>
          <cell r="G29">
            <v>5.4879686209741596</v>
          </cell>
          <cell r="H29">
            <v>14.7255127664518</v>
          </cell>
          <cell r="I29">
            <v>25.034650116766599</v>
          </cell>
          <cell r="J29">
            <v>28.359051024411901</v>
          </cell>
        </row>
        <row r="30">
          <cell r="B30" t="str">
            <v>CO2_R</v>
          </cell>
          <cell r="C30" t="str">
            <v>VAR_fout</v>
          </cell>
          <cell r="D30" t="str">
            <v>RHES-CHPNGA</v>
          </cell>
          <cell r="E30">
            <v>3.30250777998635</v>
          </cell>
          <cell r="F30">
            <v>0.38722346461822499</v>
          </cell>
          <cell r="G30">
            <v>0.58139057338234701</v>
          </cell>
          <cell r="H30">
            <v>1.2768329045873399</v>
          </cell>
          <cell r="I30">
            <v>0.31787967517066101</v>
          </cell>
        </row>
        <row r="31">
          <cell r="B31" t="str">
            <v>CO2_R</v>
          </cell>
          <cell r="C31" t="str">
            <v>VAR_fout</v>
          </cell>
          <cell r="D31" t="str">
            <v>RHEM-SHNGABR</v>
          </cell>
          <cell r="E31">
            <v>1127.96347751147</v>
          </cell>
          <cell r="F31">
            <v>1124.7003035165401</v>
          </cell>
          <cell r="G31">
            <v>1269.19603895879</v>
          </cell>
          <cell r="H31">
            <v>877.57301065176398</v>
          </cell>
          <cell r="I31">
            <v>191.433030926425</v>
          </cell>
          <cell r="J31">
            <v>61.467540156845601</v>
          </cell>
        </row>
        <row r="32">
          <cell r="B32" t="str">
            <v>CO2_R</v>
          </cell>
          <cell r="C32" t="str">
            <v>VAR_fout</v>
          </cell>
          <cell r="D32" t="str">
            <v>RHSA-WHNGAHP</v>
          </cell>
          <cell r="G32">
            <v>24.972817471324898</v>
          </cell>
          <cell r="H32">
            <v>44.314032456528601</v>
          </cell>
          <cell r="I32">
            <v>74.617044226138503</v>
          </cell>
          <cell r="J32">
            <v>71.476146505194393</v>
          </cell>
        </row>
        <row r="33">
          <cell r="B33" t="str">
            <v>CO2_R</v>
          </cell>
          <cell r="C33" t="str">
            <v>VAR_fout</v>
          </cell>
          <cell r="D33" t="str">
            <v>RHEM-SHLFOBR</v>
          </cell>
          <cell r="E33">
            <v>1928.7115275732399</v>
          </cell>
          <cell r="F33">
            <v>1568.39458698054</v>
          </cell>
          <cell r="G33">
            <v>1674.81810465886</v>
          </cell>
          <cell r="H33">
            <v>822.38577725935102</v>
          </cell>
          <cell r="I33">
            <v>172.88809184395299</v>
          </cell>
          <cell r="J33">
            <v>6.9482375842181598</v>
          </cell>
        </row>
        <row r="34">
          <cell r="B34" t="str">
            <v>CO2_R</v>
          </cell>
          <cell r="C34" t="str">
            <v>VAR_fout</v>
          </cell>
          <cell r="D34" t="str">
            <v>RHES-SHNGAHP</v>
          </cell>
          <cell r="G34">
            <v>49.185892086374899</v>
          </cell>
          <cell r="H34">
            <v>46.2370115006592</v>
          </cell>
          <cell r="I34">
            <v>37.813484020387001</v>
          </cell>
          <cell r="J34">
            <v>29.0810576744949</v>
          </cell>
        </row>
        <row r="35">
          <cell r="B35" t="str">
            <v>CO2_R</v>
          </cell>
          <cell r="C35" t="str">
            <v>VAR_fout</v>
          </cell>
          <cell r="D35" t="str">
            <v>RHNS-SHNGABR</v>
          </cell>
          <cell r="F35">
            <v>6.0646388418531796</v>
          </cell>
          <cell r="G35">
            <v>2.1226883564068402</v>
          </cell>
          <cell r="H35">
            <v>2.8931344083295998</v>
          </cell>
          <cell r="I35">
            <v>3.0016406525284198</v>
          </cell>
          <cell r="J35">
            <v>1.8542449609768601</v>
          </cell>
        </row>
        <row r="36">
          <cell r="B36" t="str">
            <v>CO2_R</v>
          </cell>
          <cell r="C36" t="str">
            <v>VAR_fout</v>
          </cell>
          <cell r="D36" t="str">
            <v>RHNS-SHLFOBR</v>
          </cell>
          <cell r="F36">
            <v>2.4931549030516699E-3</v>
          </cell>
          <cell r="G36">
            <v>1.18792821730538</v>
          </cell>
          <cell r="H36">
            <v>1.7499278401734299</v>
          </cell>
          <cell r="I36">
            <v>1.4208093507142801</v>
          </cell>
        </row>
        <row r="37">
          <cell r="B37" t="str">
            <v>CO2_R</v>
          </cell>
          <cell r="C37" t="str">
            <v>VAR_fout</v>
          </cell>
          <cell r="D37" t="str">
            <v>RHNM-CHPNGA</v>
          </cell>
          <cell r="F37">
            <v>7.6407151433270197</v>
          </cell>
          <cell r="G37">
            <v>7.7395640480516104</v>
          </cell>
          <cell r="H37">
            <v>30.330094223692399</v>
          </cell>
          <cell r="I37">
            <v>15.4945941393279</v>
          </cell>
        </row>
        <row r="38">
          <cell r="B38" t="str">
            <v>CO2_R</v>
          </cell>
          <cell r="C38" t="str">
            <v>VAR_fout</v>
          </cell>
          <cell r="D38" t="str">
            <v>RHNM-SHNGAHP</v>
          </cell>
          <cell r="G38">
            <v>7.9205839385130297</v>
          </cell>
          <cell r="H38">
            <v>17.772555446936298</v>
          </cell>
          <cell r="I38">
            <v>31.502646551944299</v>
          </cell>
          <cell r="J38">
            <v>35.970929294095498</v>
          </cell>
        </row>
        <row r="39">
          <cell r="B39" t="str">
            <v>CO2_R</v>
          </cell>
          <cell r="C39" t="str">
            <v>VAR_fout</v>
          </cell>
          <cell r="D39" t="str">
            <v>RHES-SHNGABR</v>
          </cell>
          <cell r="E39">
            <v>1043.13546442915</v>
          </cell>
          <cell r="F39">
            <v>1119.3165612743401</v>
          </cell>
          <cell r="G39">
            <v>645.63084670531498</v>
          </cell>
          <cell r="H39">
            <v>441.21902965272602</v>
          </cell>
          <cell r="I39">
            <v>133.47704319743301</v>
          </cell>
          <cell r="J39">
            <v>54.105609233354599</v>
          </cell>
        </row>
        <row r="40">
          <cell r="B40" t="str">
            <v>CO2_R</v>
          </cell>
          <cell r="C40" t="str">
            <v>VAR_fout</v>
          </cell>
          <cell r="D40" t="str">
            <v>RHSA-WHNGABR</v>
          </cell>
          <cell r="E40">
            <v>479.81039631512698</v>
          </cell>
          <cell r="F40">
            <v>413.56270410074302</v>
          </cell>
          <cell r="G40">
            <v>555.28468845648194</v>
          </cell>
          <cell r="H40">
            <v>330.430488548619</v>
          </cell>
          <cell r="I40">
            <v>116.735472959964</v>
          </cell>
          <cell r="J40">
            <v>46.608863002057603</v>
          </cell>
        </row>
        <row r="41">
          <cell r="B41" t="str">
            <v>CO2_R</v>
          </cell>
          <cell r="C41" t="str">
            <v>VAR_fout</v>
          </cell>
          <cell r="D41" t="str">
            <v>RHSA-WHLFOBR</v>
          </cell>
          <cell r="E41">
            <v>726.71297377365204</v>
          </cell>
          <cell r="F41">
            <v>572.91956498328204</v>
          </cell>
          <cell r="G41">
            <v>644.91703924805302</v>
          </cell>
          <cell r="H41">
            <v>264.70846302406699</v>
          </cell>
          <cell r="I41">
            <v>74.946218788575294</v>
          </cell>
          <cell r="J41">
            <v>1.6240770753215601</v>
          </cell>
        </row>
        <row r="42">
          <cell r="B42" t="str">
            <v>CO2_R</v>
          </cell>
          <cell r="C42" t="str">
            <v>VAR_fout</v>
          </cell>
          <cell r="D42" t="str">
            <v>RHES-SHLFOBR</v>
          </cell>
          <cell r="E42">
            <v>1783.6636643998299</v>
          </cell>
          <cell r="F42">
            <v>1640.96986807907</v>
          </cell>
          <cell r="G42">
            <v>1209.4455733928401</v>
          </cell>
          <cell r="H42">
            <v>553.95875724029997</v>
          </cell>
          <cell r="I42">
            <v>94.191826857546403</v>
          </cell>
          <cell r="J42">
            <v>4.0338148261116897</v>
          </cell>
        </row>
        <row r="43">
          <cell r="B43" t="str">
            <v>CO2_R</v>
          </cell>
          <cell r="C43" t="str">
            <v>VAR_fout</v>
          </cell>
          <cell r="D43" t="str">
            <v>RHNS-CHPNGA</v>
          </cell>
          <cell r="F43">
            <v>9.3789269382608495E-2</v>
          </cell>
          <cell r="G43">
            <v>0.33213309200768498</v>
          </cell>
          <cell r="H43">
            <v>0.31412873738100799</v>
          </cell>
          <cell r="I43">
            <v>0.17341893822190799</v>
          </cell>
        </row>
        <row r="44">
          <cell r="B44" t="str">
            <v>CO2_R</v>
          </cell>
          <cell r="C44" t="str">
            <v>VAR_fout</v>
          </cell>
          <cell r="D44" t="str">
            <v>RHEM-CHPNGA</v>
          </cell>
          <cell r="E44">
            <v>5.8572435796209303</v>
          </cell>
          <cell r="F44">
            <v>8.2989485581409994</v>
          </cell>
          <cell r="G44">
            <v>8.3745965820713604</v>
          </cell>
          <cell r="H44">
            <v>32.941915067691497</v>
          </cell>
          <cell r="I44">
            <v>13.3130900575065</v>
          </cell>
        </row>
        <row r="45">
          <cell r="B45" t="str">
            <v>CO2_R</v>
          </cell>
          <cell r="C45" t="str">
            <v>VAR_fout</v>
          </cell>
          <cell r="D45" t="str">
            <v>RHES-SHCOABR</v>
          </cell>
          <cell r="E45">
            <v>9.2704652073329701</v>
          </cell>
          <cell r="F45">
            <v>9.2702397763347104</v>
          </cell>
          <cell r="G45">
            <v>2.40310287792264</v>
          </cell>
          <cell r="H45">
            <v>4.3282398721534401E-2</v>
          </cell>
        </row>
        <row r="46">
          <cell r="B46" t="str">
            <v>CO2_R</v>
          </cell>
          <cell r="C46" t="str">
            <v>VAR_fout</v>
          </cell>
          <cell r="D46" t="str">
            <v>RHEM-SHNGAHP</v>
          </cell>
          <cell r="G46">
            <v>54.730126256272499</v>
          </cell>
          <cell r="H46">
            <v>92.830286228719402</v>
          </cell>
          <cell r="I46">
            <v>139.20999604576701</v>
          </cell>
          <cell r="J46">
            <v>120.40024713935701</v>
          </cell>
        </row>
        <row r="47">
          <cell r="B47" t="str">
            <v>CO2_R</v>
          </cell>
          <cell r="C47" t="str">
            <v>VAR_fout</v>
          </cell>
          <cell r="D47" t="str">
            <v>RHNM-SHNGABR</v>
          </cell>
          <cell r="F47">
            <v>43.099194537627099</v>
          </cell>
          <cell r="G47">
            <v>5.7825150955634701</v>
          </cell>
          <cell r="H47">
            <v>6.4605185513886401</v>
          </cell>
          <cell r="I47">
            <v>3.3774058782595602</v>
          </cell>
        </row>
        <row r="48">
          <cell r="B48" t="str">
            <v>CO2_R</v>
          </cell>
          <cell r="C48" t="str">
            <v>VAR_comnet</v>
          </cell>
          <cell r="D48" t="str">
            <v>-</v>
          </cell>
          <cell r="E48">
            <v>7108.4277205693998</v>
          </cell>
          <cell r="F48">
            <v>6514.7216105124198</v>
          </cell>
          <cell r="G48">
            <v>6173.9376560068904</v>
          </cell>
          <cell r="H48">
            <v>3586.58697027478</v>
          </cell>
          <cell r="I48">
            <v>1131.22181120645</v>
          </cell>
          <cell r="J48">
            <v>461.92981847644</v>
          </cell>
        </row>
        <row r="49">
          <cell r="B49" t="str">
            <v>CO2_S</v>
          </cell>
          <cell r="C49" t="str">
            <v>VAR_fout</v>
          </cell>
          <cell r="D49" t="str">
            <v>SCOM-SHNGAHP</v>
          </cell>
          <cell r="G49">
            <v>53.1116342613388</v>
          </cell>
          <cell r="H49">
            <v>85.763219187342003</v>
          </cell>
          <cell r="I49">
            <v>131.21331972739901</v>
          </cell>
          <cell r="J49">
            <v>121.661369228295</v>
          </cell>
        </row>
        <row r="50">
          <cell r="B50" t="str">
            <v>CO2_S</v>
          </cell>
          <cell r="C50" t="str">
            <v>VAR_fout</v>
          </cell>
          <cell r="D50" t="str">
            <v>SCOM-CHPNGA</v>
          </cell>
          <cell r="E50">
            <v>93.547784384702794</v>
          </cell>
          <cell r="F50">
            <v>98.054882596077206</v>
          </cell>
          <cell r="G50">
            <v>26.140715898145299</v>
          </cell>
          <cell r="H50">
            <v>26.139791228811902</v>
          </cell>
          <cell r="I50">
            <v>19.047050963725098</v>
          </cell>
        </row>
        <row r="51">
          <cell r="B51" t="str">
            <v>CO2_S</v>
          </cell>
          <cell r="C51" t="str">
            <v>VAR_fout</v>
          </cell>
          <cell r="D51" t="str">
            <v>SCOM-SHNGABR</v>
          </cell>
          <cell r="E51">
            <v>1440.9461823890599</v>
          </cell>
          <cell r="F51">
            <v>1508.6879039809801</v>
          </cell>
          <cell r="G51">
            <v>1272.77221740404</v>
          </cell>
          <cell r="H51">
            <v>845.56682036321195</v>
          </cell>
          <cell r="I51">
            <v>216.85100078782901</v>
          </cell>
          <cell r="J51">
            <v>67.250171621190304</v>
          </cell>
        </row>
        <row r="52">
          <cell r="B52" t="str">
            <v>CO2_S</v>
          </cell>
          <cell r="C52" t="str">
            <v>VAR_fout</v>
          </cell>
          <cell r="D52" t="str">
            <v>SCOM-SHLFOBR</v>
          </cell>
          <cell r="E52">
            <v>2229.91409787976</v>
          </cell>
          <cell r="F52">
            <v>1973.9754732695601</v>
          </cell>
          <cell r="G52">
            <v>1803.93544027196</v>
          </cell>
          <cell r="H52">
            <v>939.94156317807699</v>
          </cell>
          <cell r="I52">
            <v>248.65428314707199</v>
          </cell>
          <cell r="J52">
            <v>6.2627637222788399</v>
          </cell>
        </row>
        <row r="53">
          <cell r="B53" t="str">
            <v>CO2_S</v>
          </cell>
          <cell r="C53" t="str">
            <v>VAR_comnet</v>
          </cell>
          <cell r="D53" t="str">
            <v>-</v>
          </cell>
          <cell r="E53">
            <v>3764.4080646535299</v>
          </cell>
          <cell r="F53">
            <v>3580.7182598466102</v>
          </cell>
          <cell r="G53">
            <v>3155.9600078354802</v>
          </cell>
          <cell r="H53">
            <v>1897.4113939574399</v>
          </cell>
          <cell r="I53">
            <v>615.76565462602503</v>
          </cell>
          <cell r="J53">
            <v>195.17430457176499</v>
          </cell>
        </row>
        <row r="54">
          <cell r="B54" t="str">
            <v>CO2_T</v>
          </cell>
          <cell r="C54" t="str">
            <v>VAR_fout</v>
          </cell>
          <cell r="D54" t="str">
            <v>T_B_u-ICENGAEXT</v>
          </cell>
          <cell r="E54">
            <v>1.78491853703832E-2</v>
          </cell>
          <cell r="F54">
            <v>1.7895355962830799E-2</v>
          </cell>
          <cell r="G54">
            <v>1.7834773034820998E-2</v>
          </cell>
        </row>
        <row r="55">
          <cell r="B55" t="str">
            <v>CO2_T</v>
          </cell>
          <cell r="C55" t="str">
            <v>VAR_fout</v>
          </cell>
          <cell r="D55" t="str">
            <v>TFHGV-ICENGA</v>
          </cell>
          <cell r="E55">
            <v>3.5274956389141203</v>
          </cell>
          <cell r="F55">
            <v>0.17469886535554291</v>
          </cell>
          <cell r="G55">
            <v>0.23098263295638072</v>
          </cell>
          <cell r="H55">
            <v>0.22160414191379091</v>
          </cell>
          <cell r="I55">
            <v>0.20248739364101451</v>
          </cell>
          <cell r="J55">
            <v>1.5020062571998199E-2</v>
          </cell>
        </row>
        <row r="56">
          <cell r="B56" t="str">
            <v>CO2_T</v>
          </cell>
          <cell r="C56" t="str">
            <v>VAR_fout</v>
          </cell>
          <cell r="D56" t="str">
            <v>T-Plg-GSL-mix_S1</v>
          </cell>
          <cell r="E56">
            <v>2.2079587006174899E-2</v>
          </cell>
          <cell r="F56">
            <v>4.8252835302948299E-2</v>
          </cell>
          <cell r="G56">
            <v>5.6206517026666902E-2</v>
          </cell>
          <cell r="H56">
            <v>6.1745097267276908E-2</v>
          </cell>
          <cell r="I56">
            <v>2.8138624062332168E-2</v>
          </cell>
          <cell r="J56">
            <v>4.0142106515201597E-3</v>
          </cell>
        </row>
        <row r="57">
          <cell r="B57" t="str">
            <v>CO2_T</v>
          </cell>
          <cell r="C57" t="str">
            <v>VAR_fout</v>
          </cell>
          <cell r="D57" t="str">
            <v>T-Plg-GSL-mix_S2</v>
          </cell>
          <cell r="E57">
            <v>6.1284376163136898</v>
          </cell>
          <cell r="F57">
            <v>11.04462885721429</v>
          </cell>
          <cell r="G57">
            <v>8.5800008260974394</v>
          </cell>
          <cell r="H57">
            <v>9.7718368600366503</v>
          </cell>
          <cell r="I57">
            <v>0.1123837065157461</v>
          </cell>
          <cell r="J57">
            <v>1.184821154365792E-2</v>
          </cell>
        </row>
        <row r="58">
          <cell r="B58" t="str">
            <v>CO2_T</v>
          </cell>
          <cell r="C58" t="str">
            <v>VAR_fout</v>
          </cell>
          <cell r="D58" t="str">
            <v>T-Plg-GSL-mix_S3</v>
          </cell>
          <cell r="E58">
            <v>6.4770958386566102</v>
          </cell>
          <cell r="F58">
            <v>76.997977628346902</v>
          </cell>
          <cell r="G58">
            <v>131.6753128983438</v>
          </cell>
          <cell r="H58">
            <v>505.40381302939204</v>
          </cell>
          <cell r="I58">
            <v>532.44240044283015</v>
          </cell>
          <cell r="J58">
            <v>61.783755987915264</v>
          </cell>
        </row>
        <row r="59">
          <cell r="B59" t="str">
            <v>CO2_T</v>
          </cell>
          <cell r="C59" t="str">
            <v>VAR_fout</v>
          </cell>
          <cell r="D59" t="str">
            <v>T-Plg-GSL-mix_S4</v>
          </cell>
          <cell r="E59">
            <v>12.768793070444399</v>
          </cell>
          <cell r="F59">
            <v>19.284176760781932</v>
          </cell>
          <cell r="G59">
            <v>20.942468954792098</v>
          </cell>
          <cell r="H59">
            <v>17.003240532906915</v>
          </cell>
          <cell r="I59">
            <v>0.3175835183703139</v>
          </cell>
          <cell r="J59">
            <v>1.7870549036320939E-2</v>
          </cell>
        </row>
        <row r="60">
          <cell r="B60" t="str">
            <v>CO2_T</v>
          </cell>
          <cell r="C60" t="str">
            <v>VAR_fout</v>
          </cell>
          <cell r="D60" t="str">
            <v>TFLGV-HYBDSL</v>
          </cell>
          <cell r="F60">
            <v>31.503899636576801</v>
          </cell>
          <cell r="G60">
            <v>142.89165987551101</v>
          </cell>
          <cell r="H60">
            <v>233.02778253321679</v>
          </cell>
          <cell r="I60">
            <v>7.2884760815840402E-3</v>
          </cell>
        </row>
        <row r="61">
          <cell r="B61" t="str">
            <v>CO2_T</v>
          </cell>
          <cell r="C61" t="str">
            <v>VAR_fout</v>
          </cell>
          <cell r="D61" t="str">
            <v>TFLGV-ICEGSLExt</v>
          </cell>
          <cell r="E61">
            <v>61.428230390716799</v>
          </cell>
          <cell r="F61">
            <v>130.38416606711999</v>
          </cell>
          <cell r="G61">
            <v>40.010546667333301</v>
          </cell>
          <cell r="H61">
            <v>19.993059100390202</v>
          </cell>
        </row>
        <row r="62">
          <cell r="B62" t="str">
            <v>CO2_T</v>
          </cell>
          <cell r="C62" t="str">
            <v>VAR_fout</v>
          </cell>
          <cell r="D62" t="str">
            <v>TFLGV-ICEDSLExt</v>
          </cell>
          <cell r="E62">
            <v>802.79196851157599</v>
          </cell>
          <cell r="F62">
            <v>545.27315653904202</v>
          </cell>
          <cell r="G62">
            <v>399.57591800465201</v>
          </cell>
          <cell r="H62">
            <v>199.769293950617</v>
          </cell>
        </row>
        <row r="63">
          <cell r="B63" t="str">
            <v>CO2_T</v>
          </cell>
          <cell r="C63" t="str">
            <v>VAR_fout</v>
          </cell>
          <cell r="D63" t="str">
            <v>T_C-ICE-NGA-S1</v>
          </cell>
          <cell r="E63">
            <v>0.2066479825261483</v>
          </cell>
          <cell r="F63">
            <v>0.10884603057576954</v>
          </cell>
          <cell r="G63">
            <v>0.10035902994745644</v>
          </cell>
          <cell r="H63">
            <v>7.7605728755501474E-3</v>
          </cell>
          <cell r="I63">
            <v>1.513904294386078E-4</v>
          </cell>
        </row>
        <row r="64">
          <cell r="B64" t="str">
            <v>CO2_T</v>
          </cell>
          <cell r="C64" t="str">
            <v>VAR_fout</v>
          </cell>
          <cell r="D64" t="str">
            <v>T_C-ICE-NGA-S2</v>
          </cell>
          <cell r="E64">
            <v>3.1582502263529588</v>
          </cell>
          <cell r="F64">
            <v>3.1544769880617682</v>
          </cell>
          <cell r="G64">
            <v>3.374709943686613</v>
          </cell>
          <cell r="H64">
            <v>8.2574390637560786E-3</v>
          </cell>
          <cell r="I64">
            <v>3.7480426180836401E-4</v>
          </cell>
        </row>
        <row r="65">
          <cell r="B65" t="str">
            <v>CO2_T</v>
          </cell>
          <cell r="C65" t="str">
            <v>VAR_fout</v>
          </cell>
          <cell r="D65" t="str">
            <v>TFLGV-ICEDSL</v>
          </cell>
          <cell r="E65">
            <v>326.05924549962492</v>
          </cell>
          <cell r="F65">
            <v>384.70408593769162</v>
          </cell>
          <cell r="G65">
            <v>373.98489008796338</v>
          </cell>
          <cell r="H65">
            <v>152.81111228569677</v>
          </cell>
          <cell r="I65">
            <v>7.9088061569721705E-3</v>
          </cell>
        </row>
        <row r="66">
          <cell r="B66" t="str">
            <v>CO2_T</v>
          </cell>
          <cell r="C66" t="str">
            <v>VAR_fout</v>
          </cell>
          <cell r="D66" t="str">
            <v>T_C-ICE-NGA-S3</v>
          </cell>
          <cell r="E66">
            <v>0.24860078905056709</v>
          </cell>
          <cell r="F66">
            <v>0.26845447213296675</v>
          </cell>
          <cell r="G66">
            <v>0.2742364316603666</v>
          </cell>
          <cell r="H66">
            <v>2.8721045658359114E-2</v>
          </cell>
          <cell r="I66">
            <v>5.0296533280115498E-4</v>
          </cell>
        </row>
        <row r="67">
          <cell r="B67" t="str">
            <v>CO2_T</v>
          </cell>
          <cell r="C67" t="str">
            <v>VAR_fout</v>
          </cell>
          <cell r="D67" t="str">
            <v>T_C-ICE-NGA-S4</v>
          </cell>
          <cell r="E67">
            <v>2.7260287238964245</v>
          </cell>
          <cell r="F67">
            <v>2.6598491685556835</v>
          </cell>
          <cell r="G67">
            <v>2.4756063070388077</v>
          </cell>
          <cell r="H67">
            <v>5.0261296967035801E-3</v>
          </cell>
          <cell r="I67">
            <v>4.3504416728530902E-4</v>
          </cell>
        </row>
        <row r="68">
          <cell r="B68" t="str">
            <v>CO2_T</v>
          </cell>
          <cell r="C68" t="str">
            <v>VAR_fout</v>
          </cell>
          <cell r="D68" t="str">
            <v>T_C-MHY-GSL-S1</v>
          </cell>
          <cell r="F68">
            <v>1.6069403753517199E-2</v>
          </cell>
          <cell r="G68">
            <v>6.1402264362931502E-2</v>
          </cell>
          <cell r="H68">
            <v>7.3483365527664407E-2</v>
          </cell>
          <cell r="I68">
            <v>1.31883951510018E-2</v>
          </cell>
        </row>
        <row r="69">
          <cell r="B69" t="str">
            <v>CO2_T</v>
          </cell>
          <cell r="C69" t="str">
            <v>VAR_fout</v>
          </cell>
          <cell r="D69" t="str">
            <v>T_C-MHY-GSL-S2</v>
          </cell>
          <cell r="F69">
            <v>1.28437285702869E-2</v>
          </cell>
          <cell r="G69">
            <v>5.8266273475960695E-2</v>
          </cell>
          <cell r="H69">
            <v>7.7414558543041939E-2</v>
          </cell>
          <cell r="I69">
            <v>1.5017287591672038E-2</v>
          </cell>
        </row>
        <row r="70">
          <cell r="B70" t="str">
            <v>CO2_T</v>
          </cell>
          <cell r="C70" t="str">
            <v>VAR_fout</v>
          </cell>
          <cell r="D70" t="str">
            <v>T_C-MHY-DSL-S1</v>
          </cell>
          <cell r="F70">
            <v>1.30590564969754E-2</v>
          </cell>
          <cell r="G70">
            <v>4.8337869204756703E-2</v>
          </cell>
          <cell r="H70">
            <v>5.898207868555172E-2</v>
          </cell>
          <cell r="I70">
            <v>1.0940474133203339E-2</v>
          </cell>
        </row>
        <row r="71">
          <cell r="B71" t="str">
            <v>CO2_T</v>
          </cell>
          <cell r="C71" t="str">
            <v>VAR_fout</v>
          </cell>
          <cell r="D71" t="str">
            <v>T_C-MHY-GSL-S3</v>
          </cell>
          <cell r="F71">
            <v>1.85283519547105E-2</v>
          </cell>
          <cell r="G71">
            <v>6.5245073040391288E-2</v>
          </cell>
          <cell r="H71">
            <v>8.1439285997096308E-2</v>
          </cell>
          <cell r="I71">
            <v>1.3475747280639161E-2</v>
          </cell>
        </row>
        <row r="72">
          <cell r="B72" t="str">
            <v>CO2_T</v>
          </cell>
          <cell r="C72" t="str">
            <v>VAR_fout</v>
          </cell>
          <cell r="D72" t="str">
            <v>T_C-MHY-DSL-S2</v>
          </cell>
          <cell r="F72">
            <v>1.0556869650176E-2</v>
          </cell>
          <cell r="G72">
            <v>4.827811027477618E-2</v>
          </cell>
          <cell r="H72">
            <v>6.6513141471166104E-2</v>
          </cell>
          <cell r="I72">
            <v>1.233933640692865E-2</v>
          </cell>
        </row>
        <row r="73">
          <cell r="B73" t="str">
            <v>CO2_T</v>
          </cell>
          <cell r="C73" t="str">
            <v>VAR_fout</v>
          </cell>
          <cell r="D73" t="str">
            <v>T_C-MHY-GSL-S4</v>
          </cell>
          <cell r="F73">
            <v>2.3186125250427101E-2</v>
          </cell>
          <cell r="G73">
            <v>8.6527107111431106E-2</v>
          </cell>
          <cell r="H73">
            <v>0.1180078120054916</v>
          </cell>
          <cell r="I73">
            <v>2.0855363175255989E-2</v>
          </cell>
        </row>
        <row r="74">
          <cell r="B74" t="str">
            <v>CO2_T</v>
          </cell>
          <cell r="C74" t="str">
            <v>VAR_fout</v>
          </cell>
          <cell r="D74" t="str">
            <v>T_C-MHY-DSL-S3</v>
          </cell>
          <cell r="F74">
            <v>1.4291334129060701E-2</v>
          </cell>
          <cell r="G74">
            <v>5.0714311771366496E-2</v>
          </cell>
          <cell r="H74">
            <v>6.4405056262519592E-2</v>
          </cell>
          <cell r="I74">
            <v>1.087206047629426E-2</v>
          </cell>
        </row>
        <row r="75">
          <cell r="B75" t="str">
            <v>CO2_T</v>
          </cell>
          <cell r="C75" t="str">
            <v>VAR_fout</v>
          </cell>
          <cell r="D75" t="str">
            <v>T_B_c-HYBDSL-S1</v>
          </cell>
          <cell r="F75">
            <v>8.4606955449137197E-2</v>
          </cell>
          <cell r="G75">
            <v>9.7688935799756502E-2</v>
          </cell>
          <cell r="I75">
            <v>8.6415843666964799E-4</v>
          </cell>
          <cell r="J75">
            <v>2.8004113925440702E-4</v>
          </cell>
        </row>
        <row r="76">
          <cell r="B76" t="str">
            <v>CO2_T</v>
          </cell>
          <cell r="C76" t="str">
            <v>VAR_fout</v>
          </cell>
          <cell r="D76" t="str">
            <v>T_C-MHY-DSL-S4</v>
          </cell>
          <cell r="F76">
            <v>9.8325687878141697E-3</v>
          </cell>
          <cell r="G76">
            <v>2.6627473524936107E-2</v>
          </cell>
          <cell r="H76">
            <v>3.5694120626768799E-2</v>
          </cell>
          <cell r="I76">
            <v>6.3322367148286101E-3</v>
          </cell>
        </row>
        <row r="77">
          <cell r="B77" t="str">
            <v>CO2_T</v>
          </cell>
          <cell r="C77" t="str">
            <v>VAR_fout</v>
          </cell>
          <cell r="D77" t="str">
            <v>T_B_c-HYBDSL-S2</v>
          </cell>
          <cell r="F77">
            <v>7.5727057584990404E-3</v>
          </cell>
          <cell r="G77">
            <v>1.399677219066507E-2</v>
          </cell>
          <cell r="I77">
            <v>1.4637790973303199E-3</v>
          </cell>
          <cell r="J77">
            <v>4.9283485169039696E-4</v>
          </cell>
        </row>
        <row r="78">
          <cell r="B78" t="str">
            <v>CO2_T</v>
          </cell>
          <cell r="C78" t="str">
            <v>VAR_fout</v>
          </cell>
          <cell r="D78" t="str">
            <v>T_B_c-HYBDSL-S3</v>
          </cell>
          <cell r="F78">
            <v>4.5032768737363598E-3</v>
          </cell>
          <cell r="G78">
            <v>7.87314210031991E-3</v>
          </cell>
          <cell r="H78">
            <v>1.3708211592616823E-3</v>
          </cell>
        </row>
        <row r="79">
          <cell r="B79" t="str">
            <v>CO2_T</v>
          </cell>
          <cell r="C79" t="str">
            <v>VAR_fout</v>
          </cell>
          <cell r="D79" t="str">
            <v>T_B_c-HYBDSL-S4</v>
          </cell>
          <cell r="F79">
            <v>1.9288464943514899E-4</v>
          </cell>
          <cell r="G79">
            <v>2.8108161829347884E-4</v>
          </cell>
        </row>
        <row r="80">
          <cell r="B80" t="str">
            <v>CO2_T</v>
          </cell>
          <cell r="C80" t="str">
            <v>VAR_fout</v>
          </cell>
          <cell r="D80" t="str">
            <v>TFHGV-ICEDSLExt</v>
          </cell>
          <cell r="E80">
            <v>1410.20412784672</v>
          </cell>
          <cell r="F80">
            <v>1140.4429504924001</v>
          </cell>
          <cell r="G80">
            <v>841.39459734727996</v>
          </cell>
          <cell r="H80">
            <v>362.71697525094203</v>
          </cell>
        </row>
        <row r="81">
          <cell r="B81" t="str">
            <v>CO2_T</v>
          </cell>
          <cell r="C81" t="str">
            <v>VAR_fout</v>
          </cell>
          <cell r="D81" t="str">
            <v>TPSHPGSLEXT</v>
          </cell>
          <cell r="E81">
            <v>129.873812963153</v>
          </cell>
          <cell r="F81">
            <v>62.410752824604998</v>
          </cell>
          <cell r="G81">
            <v>9.0893766924766504E-3</v>
          </cell>
          <cell r="H81">
            <v>7.7116966703531797E-3</v>
          </cell>
          <cell r="I81">
            <v>8.7186440381610206E-3</v>
          </cell>
        </row>
        <row r="82">
          <cell r="B82" t="str">
            <v>CO2_T</v>
          </cell>
          <cell r="C82" t="str">
            <v>VAR_fout</v>
          </cell>
          <cell r="D82" t="str">
            <v>T_TW-ICEGSL-S1</v>
          </cell>
          <cell r="E82">
            <v>3.2684577881074577</v>
          </cell>
          <cell r="F82">
            <v>12.910781782742612</v>
          </cell>
          <cell r="G82">
            <v>25.594316133962099</v>
          </cell>
          <cell r="H82">
            <v>45.451826396599017</v>
          </cell>
          <cell r="I82">
            <v>66.00341923077859</v>
          </cell>
          <cell r="J82">
            <v>16.566579056329171</v>
          </cell>
        </row>
        <row r="83">
          <cell r="B83" t="str">
            <v>CO2_T</v>
          </cell>
          <cell r="C83" t="str">
            <v>VAR_fout</v>
          </cell>
          <cell r="D83" t="str">
            <v>TPSHPDSLEXT</v>
          </cell>
          <cell r="E83">
            <v>1273.9831592043399</v>
          </cell>
          <cell r="F83">
            <v>1270.6707316960899</v>
          </cell>
          <cell r="G83">
            <v>1262.7246851192999</v>
          </cell>
          <cell r="H83">
            <v>1197.9484419852299</v>
          </cell>
          <cell r="I83">
            <v>1197.94719652187</v>
          </cell>
          <cell r="J83">
            <v>1197.92853079676</v>
          </cell>
        </row>
        <row r="84">
          <cell r="B84" t="str">
            <v>CO2_T</v>
          </cell>
          <cell r="C84" t="str">
            <v>VAR_fout</v>
          </cell>
          <cell r="D84" t="str">
            <v>T_TW-ICEGSL-S2</v>
          </cell>
          <cell r="E84">
            <v>8.2888086226172408</v>
          </cell>
          <cell r="F84">
            <v>12.024814372429347</v>
          </cell>
          <cell r="G84">
            <v>12.027970749534481</v>
          </cell>
          <cell r="H84">
            <v>7.4924627222778</v>
          </cell>
          <cell r="I84">
            <v>2.1866911545065579E-2</v>
          </cell>
          <cell r="J84">
            <v>1.0005252824447499E-2</v>
          </cell>
        </row>
        <row r="85">
          <cell r="B85" t="str">
            <v>CO2_T</v>
          </cell>
          <cell r="C85" t="str">
            <v>VAR_fout</v>
          </cell>
          <cell r="D85" t="str">
            <v>T_TW-ICEGSL-S3</v>
          </cell>
          <cell r="E85">
            <v>11.761698985097789</v>
          </cell>
          <cell r="F85">
            <v>14.552062232096464</v>
          </cell>
          <cell r="G85">
            <v>14.708849042871121</v>
          </cell>
          <cell r="H85">
            <v>14.527531038414974</v>
          </cell>
          <cell r="I85">
            <v>3.3774728887347103</v>
          </cell>
          <cell r="J85">
            <v>9.9136487760445712E-3</v>
          </cell>
        </row>
        <row r="86">
          <cell r="B86" t="str">
            <v>CO2_T</v>
          </cell>
          <cell r="C86" t="str">
            <v>VAR_fout</v>
          </cell>
          <cell r="D86" t="str">
            <v>T_C-ICEGSLEXT</v>
          </cell>
          <cell r="E86">
            <v>4722.2885105392597</v>
          </cell>
          <cell r="F86">
            <v>3863.2231069293798</v>
          </cell>
          <cell r="G86">
            <v>3162.7585518168898</v>
          </cell>
          <cell r="H86">
            <v>942.78009809986395</v>
          </cell>
        </row>
        <row r="87">
          <cell r="B87" t="str">
            <v>CO2_T</v>
          </cell>
          <cell r="C87" t="str">
            <v>VAR_fout</v>
          </cell>
          <cell r="D87" t="str">
            <v>T_TW-ICEGSL-S4</v>
          </cell>
          <cell r="E87">
            <v>7.7086803650029605</v>
          </cell>
          <cell r="F87">
            <v>9.2896819020293027</v>
          </cell>
          <cell r="G87">
            <v>9.389298964199746</v>
          </cell>
          <cell r="H87">
            <v>9.2878323783728653</v>
          </cell>
          <cell r="I87">
            <v>8.4224895898589374</v>
          </cell>
          <cell r="J87">
            <v>6.0748295320645261E-2</v>
          </cell>
        </row>
        <row r="88">
          <cell r="B88" t="str">
            <v>CO2_T</v>
          </cell>
          <cell r="C88" t="str">
            <v>VAR_fout</v>
          </cell>
          <cell r="D88" t="str">
            <v>T_C-ICEDSLEXT</v>
          </cell>
          <cell r="E88">
            <v>3821.27748658869</v>
          </cell>
          <cell r="F88">
            <v>3569.7776190993</v>
          </cell>
          <cell r="G88">
            <v>2582.91131834207</v>
          </cell>
          <cell r="H88">
            <v>1122.70600078141</v>
          </cell>
        </row>
        <row r="89">
          <cell r="B89" t="str">
            <v>CO2_T</v>
          </cell>
          <cell r="C89" t="str">
            <v>VAR_fout</v>
          </cell>
          <cell r="D89" t="str">
            <v>T_TW-ICEGSLEXT</v>
          </cell>
          <cell r="E89">
            <v>146.80199123719399</v>
          </cell>
          <cell r="F89">
            <v>110.544064101573</v>
          </cell>
          <cell r="G89">
            <v>76.820466255633505</v>
          </cell>
          <cell r="H89">
            <v>33.438229086063501</v>
          </cell>
        </row>
        <row r="90">
          <cell r="B90" t="str">
            <v>CO2_T</v>
          </cell>
          <cell r="C90" t="str">
            <v>VAR_fout</v>
          </cell>
          <cell r="D90" t="str">
            <v>TFLGV-ICENGA</v>
          </cell>
          <cell r="E90">
            <v>1.4426270667807981</v>
          </cell>
          <cell r="F90">
            <v>1.2618351283711791</v>
          </cell>
          <cell r="G90">
            <v>1.7757549308875553</v>
          </cell>
          <cell r="H90">
            <v>6.2779563264446893E-3</v>
          </cell>
          <cell r="I90">
            <v>3.54571048787057E-4</v>
          </cell>
        </row>
        <row r="91">
          <cell r="B91" t="str">
            <v>CO2_T</v>
          </cell>
          <cell r="C91" t="str">
            <v>VAR_fout</v>
          </cell>
          <cell r="D91" t="str">
            <v>T_B_c-ICENGA-S1</v>
          </cell>
          <cell r="F91">
            <v>7.3154284074406504E-3</v>
          </cell>
          <cell r="G91">
            <v>2.059507821640999E-2</v>
          </cell>
          <cell r="I91">
            <v>1.7205344543199701E-4</v>
          </cell>
        </row>
        <row r="92">
          <cell r="B92" t="str">
            <v>CO2_T</v>
          </cell>
          <cell r="C92" t="str">
            <v>VAR_fout</v>
          </cell>
          <cell r="D92" t="str">
            <v>T_B_c-ICENGA-S2</v>
          </cell>
          <cell r="F92">
            <v>3.5028429192811199E-3</v>
          </cell>
          <cell r="G92">
            <v>1.4565897619492989E-2</v>
          </cell>
          <cell r="I92">
            <v>3.8696099547775898E-4</v>
          </cell>
          <cell r="J92">
            <v>7.51251227224568E-5</v>
          </cell>
        </row>
        <row r="93">
          <cell r="B93" t="str">
            <v>CO2_T</v>
          </cell>
          <cell r="C93" t="str">
            <v>VAR_fout</v>
          </cell>
          <cell r="D93" t="str">
            <v>T_B_u-ICEDSL-S1</v>
          </cell>
          <cell r="E93">
            <v>2.0512064174795917E-2</v>
          </cell>
          <cell r="F93">
            <v>14.572814928684407</v>
          </cell>
          <cell r="G93">
            <v>29.530102186321361</v>
          </cell>
          <cell r="H93">
            <v>3.3251323040455901E-3</v>
          </cell>
        </row>
        <row r="94">
          <cell r="B94" t="str">
            <v>CO2_T</v>
          </cell>
          <cell r="C94" t="str">
            <v>VAR_fout</v>
          </cell>
          <cell r="D94" t="str">
            <v>T_B_c-ICENGA-S3</v>
          </cell>
          <cell r="F94">
            <v>2.2480626635781602E-3</v>
          </cell>
          <cell r="G94">
            <v>9.5213896373838609E-3</v>
          </cell>
          <cell r="I94">
            <v>2.6596537338902999E-4</v>
          </cell>
        </row>
        <row r="95">
          <cell r="B95" t="str">
            <v>CO2_T</v>
          </cell>
          <cell r="C95" t="str">
            <v>VAR_fout</v>
          </cell>
          <cell r="D95" t="str">
            <v>T_B_u-ICEDSL-S2</v>
          </cell>
          <cell r="E95">
            <v>8.0823039666718106</v>
          </cell>
          <cell r="F95">
            <v>9.9160661810188131</v>
          </cell>
          <cell r="G95">
            <v>17.380291866819412</v>
          </cell>
        </row>
        <row r="96">
          <cell r="B96" t="str">
            <v>CO2_T</v>
          </cell>
          <cell r="C96" t="str">
            <v>VAR_fout</v>
          </cell>
          <cell r="D96" t="str">
            <v>T_B_c-ICENGA-S4</v>
          </cell>
          <cell r="G96">
            <v>2.0661895434342299E-4</v>
          </cell>
        </row>
        <row r="97">
          <cell r="B97" t="str">
            <v>CO2_T</v>
          </cell>
          <cell r="C97" t="str">
            <v>VAR_fout</v>
          </cell>
          <cell r="D97" t="str">
            <v>T_B_u-ICEDSL-S3</v>
          </cell>
          <cell r="E97">
            <v>45.229701607748616</v>
          </cell>
          <cell r="F97">
            <v>66.74769539905175</v>
          </cell>
          <cell r="G97">
            <v>115.98514338123603</v>
          </cell>
        </row>
        <row r="98">
          <cell r="B98" t="str">
            <v>CO2_T</v>
          </cell>
          <cell r="C98" t="str">
            <v>VAR_fout</v>
          </cell>
          <cell r="D98" t="str">
            <v>T_B_u-ICEDSL-S4</v>
          </cell>
          <cell r="E98">
            <v>0.23042089390291359</v>
          </cell>
          <cell r="G98">
            <v>7.8097082128856989E-3</v>
          </cell>
        </row>
        <row r="99">
          <cell r="B99" t="str">
            <v>CO2_T</v>
          </cell>
          <cell r="C99" t="str">
            <v>VAR_fout</v>
          </cell>
          <cell r="D99" t="str">
            <v>T_B_c-ICENGAEXT</v>
          </cell>
          <cell r="E99">
            <v>7.7851651403917097E-3</v>
          </cell>
          <cell r="F99">
            <v>7.8060407853494601E-3</v>
          </cell>
          <cell r="G99">
            <v>7.7298293369912003E-3</v>
          </cell>
        </row>
        <row r="100">
          <cell r="B100" t="str">
            <v>CO2_T</v>
          </cell>
          <cell r="C100" t="str">
            <v>VAR_fout</v>
          </cell>
          <cell r="D100" t="str">
            <v>T_B_u-ICEDSLEXT</v>
          </cell>
          <cell r="E100">
            <v>1.27097817539925</v>
          </cell>
          <cell r="F100">
            <v>1.2694284362355099</v>
          </cell>
          <cell r="G100">
            <v>1.2644543646037101</v>
          </cell>
        </row>
        <row r="101">
          <cell r="B101" t="str">
            <v>CO2_T</v>
          </cell>
          <cell r="C101" t="str">
            <v>VAR_fout</v>
          </cell>
          <cell r="D101" t="str">
            <v>T_C-HYBGSLEXT</v>
          </cell>
          <cell r="E101">
            <v>92.550090017841697</v>
          </cell>
          <cell r="F101">
            <v>91.724580794098102</v>
          </cell>
          <cell r="G101">
            <v>68.278518496691504</v>
          </cell>
          <cell r="H101">
            <v>32.3955709383361</v>
          </cell>
        </row>
        <row r="102">
          <cell r="B102" t="str">
            <v>CO2_T</v>
          </cell>
          <cell r="C102" t="str">
            <v>VAR_fout</v>
          </cell>
          <cell r="D102" t="str">
            <v>TPAVDKEREXT</v>
          </cell>
          <cell r="E102">
            <v>79.576349423418094</v>
          </cell>
          <cell r="F102">
            <v>100.796237247683</v>
          </cell>
          <cell r="G102">
            <v>132.626068984081</v>
          </cell>
          <cell r="H102">
            <v>185.675788544743</v>
          </cell>
          <cell r="I102">
            <v>154.38211110512901</v>
          </cell>
          <cell r="J102">
            <v>123.088433665514</v>
          </cell>
        </row>
        <row r="103">
          <cell r="B103" t="str">
            <v>CO2_T</v>
          </cell>
          <cell r="C103" t="str">
            <v>VAR_fout</v>
          </cell>
          <cell r="D103" t="str">
            <v>T_C-ICE-GSL-S1</v>
          </cell>
          <cell r="E103">
            <v>36.608482393152435</v>
          </cell>
          <cell r="F103">
            <v>40.647287076868452</v>
          </cell>
          <cell r="G103">
            <v>99.132236935560258</v>
          </cell>
          <cell r="H103">
            <v>83.769078254375515</v>
          </cell>
          <cell r="I103">
            <v>6.0247968692412899</v>
          </cell>
        </row>
        <row r="104">
          <cell r="B104" t="str">
            <v>CO2_T</v>
          </cell>
          <cell r="C104" t="str">
            <v>VAR_fout</v>
          </cell>
          <cell r="D104" t="str">
            <v>TFLGV-ICEGSL</v>
          </cell>
          <cell r="E104">
            <v>27.006689620872322</v>
          </cell>
          <cell r="F104">
            <v>42.703109010882777</v>
          </cell>
          <cell r="G104">
            <v>56.777443485813237</v>
          </cell>
          <cell r="H104">
            <v>100.5925739435138</v>
          </cell>
          <cell r="I104">
            <v>7.9563588557748106E-3</v>
          </cell>
        </row>
        <row r="105">
          <cell r="B105" t="str">
            <v>CO2_T</v>
          </cell>
          <cell r="C105" t="str">
            <v>VAR_fout</v>
          </cell>
          <cell r="D105" t="str">
            <v>T_C-ICE-GSL-S2</v>
          </cell>
          <cell r="E105">
            <v>277.7890933252595</v>
          </cell>
          <cell r="F105">
            <v>391.65655622364409</v>
          </cell>
          <cell r="G105">
            <v>349.33580673739669</v>
          </cell>
          <cell r="H105">
            <v>303.96028123123676</v>
          </cell>
          <cell r="I105">
            <v>0.11696870934722289</v>
          </cell>
        </row>
        <row r="106">
          <cell r="B106" t="str">
            <v>CO2_T</v>
          </cell>
          <cell r="C106" t="str">
            <v>VAR_fout</v>
          </cell>
          <cell r="D106" t="str">
            <v>T_C-ICE-DSL-S1</v>
          </cell>
          <cell r="E106">
            <v>0.38263319333967599</v>
          </cell>
          <cell r="F106">
            <v>0.4393597062173426</v>
          </cell>
          <cell r="G106">
            <v>0.33194326255045126</v>
          </cell>
          <cell r="H106">
            <v>0.24471356084070439</v>
          </cell>
          <cell r="I106">
            <v>7.8577637676835212E-3</v>
          </cell>
        </row>
        <row r="107">
          <cell r="B107" t="str">
            <v>CO2_T</v>
          </cell>
          <cell r="C107" t="str">
            <v>VAR_fout</v>
          </cell>
          <cell r="D107" t="str">
            <v>T_C-ICE-GSL-S3</v>
          </cell>
          <cell r="E107">
            <v>278.47167237181048</v>
          </cell>
          <cell r="F107">
            <v>423.67873794853216</v>
          </cell>
          <cell r="G107">
            <v>487.24029136193764</v>
          </cell>
          <cell r="H107">
            <v>397.59795013215665</v>
          </cell>
          <cell r="I107">
            <v>5.9134909431692408</v>
          </cell>
        </row>
        <row r="108">
          <cell r="B108" t="str">
            <v>CO2_T</v>
          </cell>
          <cell r="C108" t="str">
            <v>VAR_fout</v>
          </cell>
          <cell r="D108" t="str">
            <v>T_C-ICE-DSL-S2</v>
          </cell>
          <cell r="E108">
            <v>89.542987384632042</v>
          </cell>
          <cell r="F108">
            <v>94.05708484187879</v>
          </cell>
          <cell r="G108">
            <v>72.384593089452551</v>
          </cell>
          <cell r="H108">
            <v>60.757728783693061</v>
          </cell>
          <cell r="I108">
            <v>9.5084471804262796E-3</v>
          </cell>
        </row>
        <row r="109">
          <cell r="B109" t="str">
            <v>CO2_T</v>
          </cell>
          <cell r="C109" t="str">
            <v>VAR_fout</v>
          </cell>
          <cell r="D109" t="str">
            <v>T_C-ICE-GSL-S4</v>
          </cell>
          <cell r="E109">
            <v>287.38831718275378</v>
          </cell>
          <cell r="F109">
            <v>387.804830320767</v>
          </cell>
          <cell r="G109">
            <v>814.64176970326025</v>
          </cell>
          <cell r="H109">
            <v>683.3703994465485</v>
          </cell>
          <cell r="I109">
            <v>34.591987005335255</v>
          </cell>
        </row>
        <row r="110">
          <cell r="B110" t="str">
            <v>CO2_T</v>
          </cell>
          <cell r="C110" t="str">
            <v>VAR_fout</v>
          </cell>
          <cell r="D110" t="str">
            <v>T_C-ICE-DSL-S3</v>
          </cell>
          <cell r="E110">
            <v>369.5161362587603</v>
          </cell>
          <cell r="F110">
            <v>390.4604480550604</v>
          </cell>
          <cell r="G110">
            <v>386.7308576802327</v>
          </cell>
          <cell r="H110">
            <v>295.33930440437967</v>
          </cell>
          <cell r="I110">
            <v>8.5710404481085193E-3</v>
          </cell>
        </row>
        <row r="111">
          <cell r="B111" t="str">
            <v>CO2_T</v>
          </cell>
          <cell r="C111" t="str">
            <v>VAR_fout</v>
          </cell>
          <cell r="D111" t="str">
            <v>T_C-ICE-DSL-S4</v>
          </cell>
          <cell r="E111">
            <v>142.01314515161411</v>
          </cell>
          <cell r="F111">
            <v>162.0502589559255</v>
          </cell>
          <cell r="G111">
            <v>141.09578923936891</v>
          </cell>
          <cell r="H111">
            <v>122.61926514751903</v>
          </cell>
          <cell r="I111">
            <v>5.6266469821724396E-3</v>
          </cell>
        </row>
        <row r="112">
          <cell r="B112" t="str">
            <v>CO2_T</v>
          </cell>
          <cell r="C112" t="str">
            <v>VAR_fout</v>
          </cell>
          <cell r="D112" t="str">
            <v>TFLGV-ICENGAExt</v>
          </cell>
          <cell r="E112">
            <v>6.0591963588372399</v>
          </cell>
          <cell r="F112">
            <v>1.82807903165799</v>
          </cell>
          <cell r="G112">
            <v>3.9527804620376101</v>
          </cell>
          <cell r="H112">
            <v>2.5486462560796799E-3</v>
          </cell>
        </row>
        <row r="113">
          <cell r="B113" t="str">
            <v>CO2_T</v>
          </cell>
          <cell r="C113" t="str">
            <v>VAR_fout</v>
          </cell>
          <cell r="D113" t="str">
            <v>T_B_u-HYBDSL-S1</v>
          </cell>
          <cell r="F113">
            <v>3.9823668940437398</v>
          </cell>
          <cell r="G113">
            <v>4.0006505625774782</v>
          </cell>
        </row>
        <row r="114">
          <cell r="B114" t="str">
            <v>CO2_T</v>
          </cell>
          <cell r="C114" t="str">
            <v>VAR_fout</v>
          </cell>
          <cell r="D114" t="str">
            <v>T_B_u-HYBDSL-S2</v>
          </cell>
          <cell r="F114">
            <v>2.2248979092708499E-2</v>
          </cell>
          <cell r="G114">
            <v>3.1920867522130088E-2</v>
          </cell>
        </row>
        <row r="115">
          <cell r="B115" t="str">
            <v>CO2_T</v>
          </cell>
          <cell r="C115" t="str">
            <v>VAR_fout</v>
          </cell>
          <cell r="D115" t="str">
            <v>T_B_u-HYBDSL-S3</v>
          </cell>
          <cell r="F115">
            <v>2.5851043875329102E-2</v>
          </cell>
          <cell r="G115">
            <v>3.489666510500182E-2</v>
          </cell>
        </row>
        <row r="116">
          <cell r="B116" t="str">
            <v>CO2_T</v>
          </cell>
          <cell r="C116" t="str">
            <v>VAR_fout</v>
          </cell>
          <cell r="D116" t="str">
            <v>T_C-HY-GSL-S1</v>
          </cell>
          <cell r="E116">
            <v>3.4011915348400175</v>
          </cell>
          <cell r="F116">
            <v>3.9772111355677686</v>
          </cell>
          <cell r="G116">
            <v>2.8479519951555905</v>
          </cell>
          <cell r="H116">
            <v>2.206278274253576</v>
          </cell>
          <cell r="I116">
            <v>1.6011994172057058E-2</v>
          </cell>
        </row>
        <row r="117">
          <cell r="B117" t="str">
            <v>CO2_T</v>
          </cell>
          <cell r="C117" t="str">
            <v>VAR_fout</v>
          </cell>
          <cell r="D117" t="str">
            <v>TFRLFDSLEXT</v>
          </cell>
          <cell r="E117">
            <v>29.033317709717799</v>
          </cell>
          <cell r="F117">
            <v>20.330022809309799</v>
          </cell>
          <cell r="G117">
            <v>2.49297012987179E-2</v>
          </cell>
          <cell r="H117">
            <v>2.59978752635425E-2</v>
          </cell>
          <cell r="I117">
            <v>2.6119194134971099E-2</v>
          </cell>
        </row>
        <row r="118">
          <cell r="B118" t="str">
            <v>CO2_T</v>
          </cell>
          <cell r="C118" t="str">
            <v>VAR_fout</v>
          </cell>
          <cell r="D118" t="str">
            <v>T_C-HY-GSL-S2</v>
          </cell>
          <cell r="E118">
            <v>10.13866889945491</v>
          </cell>
          <cell r="F118">
            <v>30.431045389979012</v>
          </cell>
          <cell r="G118">
            <v>49.773246279127278</v>
          </cell>
          <cell r="H118">
            <v>41.949740350748151</v>
          </cell>
          <cell r="I118">
            <v>1.3571143770310929</v>
          </cell>
        </row>
        <row r="119">
          <cell r="B119" t="str">
            <v>CO2_T</v>
          </cell>
          <cell r="C119" t="str">
            <v>VAR_fout</v>
          </cell>
          <cell r="D119" t="str">
            <v>T_C-HY-DSL-S1</v>
          </cell>
          <cell r="E119">
            <v>2.3222468310290598E-3</v>
          </cell>
          <cell r="F119">
            <v>12.977244045229954</v>
          </cell>
          <cell r="G119">
            <v>8.7606112376358247</v>
          </cell>
          <cell r="H119">
            <v>7.0592868323218259</v>
          </cell>
          <cell r="I119">
            <v>1.981215929790207E-2</v>
          </cell>
        </row>
        <row r="120">
          <cell r="B120" t="str">
            <v>CO2_T</v>
          </cell>
          <cell r="C120" t="str">
            <v>VAR_fout</v>
          </cell>
          <cell r="D120" t="str">
            <v>T_C-HY-GSL-S3</v>
          </cell>
          <cell r="E120">
            <v>7.5245013837896098</v>
          </cell>
          <cell r="F120">
            <v>89.575612907942769</v>
          </cell>
          <cell r="G120">
            <v>84.717506755980054</v>
          </cell>
          <cell r="H120">
            <v>67.74616009793175</v>
          </cell>
          <cell r="I120">
            <v>5.0088999355845975E-3</v>
          </cell>
        </row>
        <row r="121">
          <cell r="B121" t="str">
            <v>CO2_T</v>
          </cell>
          <cell r="C121" t="str">
            <v>VAR_fout</v>
          </cell>
          <cell r="D121" t="str">
            <v>T_C-HY-DSL-S2</v>
          </cell>
          <cell r="E121">
            <v>0.20708157159062604</v>
          </cell>
          <cell r="F121">
            <v>33.442643154947895</v>
          </cell>
          <cell r="G121">
            <v>92.176223524378372</v>
          </cell>
          <cell r="H121">
            <v>78.648279426467283</v>
          </cell>
          <cell r="I121">
            <v>3.7290510751701338</v>
          </cell>
        </row>
        <row r="122">
          <cell r="B122" t="str">
            <v>CO2_T</v>
          </cell>
          <cell r="C122" t="str">
            <v>VAR_fout</v>
          </cell>
          <cell r="D122" t="str">
            <v>T_C-HY-GSL-S4</v>
          </cell>
          <cell r="E122">
            <v>6.6950682901741034</v>
          </cell>
          <cell r="F122">
            <v>9.9860734430060116</v>
          </cell>
          <cell r="G122">
            <v>9.390661586421734</v>
          </cell>
          <cell r="H122">
            <v>7.9611148027255121</v>
          </cell>
          <cell r="I122">
            <v>5.7106648856676077E-3</v>
          </cell>
        </row>
        <row r="123">
          <cell r="B123" t="str">
            <v>CO2_T</v>
          </cell>
          <cell r="C123" t="str">
            <v>VAR_fout</v>
          </cell>
          <cell r="D123" t="str">
            <v>T_C-HY-DSL-S3</v>
          </cell>
          <cell r="E123">
            <v>2.1595675523991602</v>
          </cell>
          <cell r="F123">
            <v>3.3329517639112529</v>
          </cell>
          <cell r="G123">
            <v>3.1953321591764214</v>
          </cell>
          <cell r="H123">
            <v>2.3941058074128594</v>
          </cell>
          <cell r="I123">
            <v>4.6098947648841402E-3</v>
          </cell>
        </row>
        <row r="124">
          <cell r="B124" t="str">
            <v>CO2_T</v>
          </cell>
          <cell r="C124" t="str">
            <v>VAR_fout</v>
          </cell>
          <cell r="D124" t="str">
            <v>T_C-HY-DSL-S4</v>
          </cell>
          <cell r="E124">
            <v>2.5890585130175334</v>
          </cell>
          <cell r="F124">
            <v>5.2036162189575759</v>
          </cell>
          <cell r="G124">
            <v>4.9367113826780677</v>
          </cell>
          <cell r="H124">
            <v>4.0521120003291715</v>
          </cell>
          <cell r="I124">
            <v>5.0215663353961621E-3</v>
          </cell>
        </row>
        <row r="125">
          <cell r="B125" t="str">
            <v>CO2_T</v>
          </cell>
          <cell r="C125" t="str">
            <v>VAR_fout</v>
          </cell>
          <cell r="D125" t="str">
            <v>TFHGV-HYBDSL</v>
          </cell>
          <cell r="F125">
            <v>84.968679421873006</v>
          </cell>
          <cell r="G125">
            <v>306.91096541216399</v>
          </cell>
          <cell r="H125">
            <v>819.46683661268571</v>
          </cell>
          <cell r="I125">
            <v>778.28467808670007</v>
          </cell>
          <cell r="J125">
            <v>32.238782303641997</v>
          </cell>
        </row>
        <row r="126">
          <cell r="B126" t="str">
            <v>CO2_T</v>
          </cell>
          <cell r="C126" t="str">
            <v>VAR_fout</v>
          </cell>
          <cell r="D126" t="str">
            <v>TFHGV-ICEDSL</v>
          </cell>
          <cell r="E126">
            <v>381.15784099567196</v>
          </cell>
          <cell r="F126">
            <v>446.83505482160052</v>
          </cell>
          <cell r="G126">
            <v>350.63105873772264</v>
          </cell>
          <cell r="H126">
            <v>32.307510126187459</v>
          </cell>
          <cell r="I126">
            <v>3.8071212156631104E-2</v>
          </cell>
          <cell r="J126">
            <v>3.6655755629162201E-3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T-Plg-DSL-mix_S1</v>
          </cell>
          <cell r="E127">
            <v>1.27095510511162E-3</v>
          </cell>
          <cell r="F127">
            <v>2.8011622911162402E-2</v>
          </cell>
          <cell r="G127">
            <v>4.1254529064439001E-2</v>
          </cell>
          <cell r="H127">
            <v>5.2124064351571582E-2</v>
          </cell>
          <cell r="I127">
            <v>2.7802099707402682E-2</v>
          </cell>
          <cell r="J127">
            <v>3.9349992532352702E-3</v>
          </cell>
        </row>
        <row r="128">
          <cell r="B128" t="str">
            <v>CO2_T</v>
          </cell>
          <cell r="C128" t="str">
            <v>VAR_fout</v>
          </cell>
          <cell r="D128" t="str">
            <v>T-Plg-DSL-mix_S2</v>
          </cell>
          <cell r="E128">
            <v>8.0207531541582103E-4</v>
          </cell>
          <cell r="F128">
            <v>2.91137256720988E-2</v>
          </cell>
          <cell r="G128">
            <v>0.1108995976913124</v>
          </cell>
          <cell r="H128">
            <v>0.34155061076348092</v>
          </cell>
          <cell r="I128">
            <v>0.127201993515004</v>
          </cell>
          <cell r="J128">
            <v>1.1795356385798931E-2</v>
          </cell>
        </row>
        <row r="129">
          <cell r="B129" t="str">
            <v>CO2_T</v>
          </cell>
          <cell r="C129" t="str">
            <v>VAR_fout</v>
          </cell>
          <cell r="D129" t="str">
            <v>T-Plg-DSL-mix_S3</v>
          </cell>
          <cell r="E129">
            <v>7.7293991051419399E-3</v>
          </cell>
          <cell r="F129">
            <v>0.26907421749053095</v>
          </cell>
          <cell r="G129">
            <v>105.49082381165979</v>
          </cell>
          <cell r="H129">
            <v>356.56419863533972</v>
          </cell>
          <cell r="I129">
            <v>373.12985985896734</v>
          </cell>
          <cell r="J129">
            <v>42.239673480870955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T_B_c-ICEDSL-S1</v>
          </cell>
          <cell r="E130">
            <v>8.3193904776364107</v>
          </cell>
          <cell r="F130">
            <v>22.539037358463212</v>
          </cell>
          <cell r="G130">
            <v>27.465343965979351</v>
          </cell>
          <cell r="I130">
            <v>8.3946898248419297E-4</v>
          </cell>
          <cell r="J130">
            <v>2.5921903251874002E-4</v>
          </cell>
        </row>
        <row r="131">
          <cell r="B131" t="str">
            <v>CO2_T</v>
          </cell>
          <cell r="C131" t="str">
            <v>VAR_fout</v>
          </cell>
          <cell r="D131" t="str">
            <v>T-Plg-DSL-mix_S4</v>
          </cell>
          <cell r="E131">
            <v>0.42440244876590999</v>
          </cell>
          <cell r="F131">
            <v>1.125636156851503</v>
          </cell>
          <cell r="G131">
            <v>1.3371767773626049</v>
          </cell>
          <cell r="H131">
            <v>2.770374032394606</v>
          </cell>
          <cell r="I131">
            <v>0.53375913936246167</v>
          </cell>
          <cell r="J131">
            <v>1.7534050969898282E-2</v>
          </cell>
        </row>
        <row r="132">
          <cell r="B132" t="str">
            <v>CO2_T</v>
          </cell>
          <cell r="C132" t="str">
            <v>VAR_fout</v>
          </cell>
          <cell r="D132" t="str">
            <v>T_B_c-ICEDSL-S2</v>
          </cell>
          <cell r="E132">
            <v>38.084604634481401</v>
          </cell>
          <cell r="F132">
            <v>29.247296250624053</v>
          </cell>
          <cell r="G132">
            <v>36.151149152519451</v>
          </cell>
          <cell r="I132">
            <v>1.35541036148089E-3</v>
          </cell>
          <cell r="J132">
            <v>4.5696976239278101E-4</v>
          </cell>
        </row>
        <row r="133">
          <cell r="B133" t="str">
            <v>CO2_T</v>
          </cell>
          <cell r="C133" t="str">
            <v>VAR_fout</v>
          </cell>
          <cell r="D133" t="str">
            <v>T_B_c-ICEDSL-S3</v>
          </cell>
          <cell r="E133">
            <v>11.733481561127061</v>
          </cell>
          <cell r="F133">
            <v>9.4327932915772656</v>
          </cell>
          <cell r="G133">
            <v>11.648710763480226</v>
          </cell>
        </row>
        <row r="134">
          <cell r="B134" t="str">
            <v>CO2_T</v>
          </cell>
          <cell r="C134" t="str">
            <v>VAR_fout</v>
          </cell>
          <cell r="D134" t="str">
            <v>T_B_c-ICEDSL-S4</v>
          </cell>
          <cell r="E134">
            <v>0.94823658567728253</v>
          </cell>
          <cell r="F134">
            <v>3.2830660150480768E-3</v>
          </cell>
          <cell r="G134">
            <v>8.3777924883151802E-3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T_B_u-ICENGA-S1</v>
          </cell>
          <cell r="F135">
            <v>8.4688453246609605E-3</v>
          </cell>
          <cell r="G135">
            <v>2.7142145584673601E-2</v>
          </cell>
          <cell r="H135">
            <v>8.1257273428768205E-5</v>
          </cell>
        </row>
        <row r="136">
          <cell r="B136" t="str">
            <v>CO2_T</v>
          </cell>
          <cell r="C136" t="str">
            <v>VAR_fout</v>
          </cell>
          <cell r="D136" t="str">
            <v>T_B_u-ICENGA-S2</v>
          </cell>
          <cell r="F136">
            <v>5.0671216954506796E-3</v>
          </cell>
          <cell r="G136">
            <v>4.4649750218019431E-2</v>
          </cell>
        </row>
        <row r="137">
          <cell r="B137" t="str">
            <v>CO2_T</v>
          </cell>
          <cell r="C137" t="str">
            <v>VAR_fout</v>
          </cell>
          <cell r="D137" t="str">
            <v>T_B_c-ICEDSLEXT</v>
          </cell>
          <cell r="E137">
            <v>0.44185535127511499</v>
          </cell>
          <cell r="F137">
            <v>0.44080896522963198</v>
          </cell>
          <cell r="G137">
            <v>0.43759727818692901</v>
          </cell>
        </row>
        <row r="138">
          <cell r="B138" t="str">
            <v>CO2_T</v>
          </cell>
          <cell r="C138" t="str">
            <v>VAR_fout</v>
          </cell>
          <cell r="D138" t="str">
            <v>T_B_u-ICENGA-S3</v>
          </cell>
          <cell r="F138">
            <v>4.7252974567115599E-3</v>
          </cell>
          <cell r="G138">
            <v>1.5685639749373468</v>
          </cell>
          <cell r="J138">
            <v>9.2115786403625403E-4</v>
          </cell>
        </row>
        <row r="139">
          <cell r="B139" t="str">
            <v>CO2_T</v>
          </cell>
          <cell r="C139" t="str">
            <v>VAR_fout</v>
          </cell>
          <cell r="D139" t="str">
            <v>T_B_u-ICENGA-S4</v>
          </cell>
          <cell r="J139">
            <v>7.9119209725065699E-4</v>
          </cell>
        </row>
        <row r="140">
          <cell r="B140" t="str">
            <v>CO2_T</v>
          </cell>
          <cell r="C140" t="str">
            <v>VAR_comnet</v>
          </cell>
          <cell r="D140" t="str">
            <v>-</v>
          </cell>
          <cell r="E140">
            <v>15007.076971008701</v>
          </cell>
          <cell r="F140">
            <v>14301.545593446701</v>
          </cell>
          <cell r="G140">
            <v>12993.383745609301</v>
          </cell>
          <cell r="H140">
            <v>8564.9282293235192</v>
          </cell>
          <cell r="I140">
            <v>3167.3882493329402</v>
          </cell>
          <cell r="J140">
            <v>1474.0153820437999</v>
          </cell>
        </row>
        <row r="141">
          <cell r="B141" t="str">
            <v>CO2</v>
          </cell>
          <cell r="C141" t="str">
            <v>VAR_fout</v>
          </cell>
          <cell r="D141" t="str">
            <v>EWSTINCCS</v>
          </cell>
          <cell r="I141">
            <v>-694.61494703647804</v>
          </cell>
          <cell r="J141">
            <v>-1152.3345879563799</v>
          </cell>
        </row>
        <row r="142">
          <cell r="B142" t="str">
            <v>CO2</v>
          </cell>
          <cell r="C142" t="str">
            <v>VAR_fout</v>
          </cell>
          <cell r="D142" t="str">
            <v>othGHG</v>
          </cell>
          <cell r="E142">
            <v>9468.5879275113693</v>
          </cell>
          <cell r="F142">
            <v>9016.1649007544693</v>
          </cell>
          <cell r="G142">
            <v>8563.7418739975801</v>
          </cell>
          <cell r="H142">
            <v>8788.4886751038102</v>
          </cell>
          <cell r="I142">
            <v>6768.8204363701498</v>
          </cell>
          <cell r="J142">
            <v>5011.3756110477598</v>
          </cell>
        </row>
        <row r="143">
          <cell r="B143" t="str">
            <v>CO2</v>
          </cell>
          <cell r="C143" t="str">
            <v>VAR_fout</v>
          </cell>
          <cell r="D143" t="str">
            <v>D-ICOA</v>
          </cell>
          <cell r="E143">
            <v>330.01451992513199</v>
          </cell>
          <cell r="F143">
            <v>321.179832767194</v>
          </cell>
          <cell r="G143">
            <v>102.543917821644</v>
          </cell>
          <cell r="H143">
            <v>1.55523299656784E-2</v>
          </cell>
          <cell r="I143">
            <v>6.0076365768263099E-2</v>
          </cell>
          <cell r="J143">
            <v>1.8670999643275E-2</v>
          </cell>
        </row>
        <row r="144">
          <cell r="B144" t="str">
            <v>CO2</v>
          </cell>
          <cell r="C144" t="str">
            <v>VAR_fout</v>
          </cell>
          <cell r="D144" t="str">
            <v>CHPWSTCCS</v>
          </cell>
          <cell r="I144">
            <v>-736.75187718692905</v>
          </cell>
          <cell r="J144">
            <v>-1099.4979794102901</v>
          </cell>
        </row>
        <row r="145">
          <cell r="B145" t="str">
            <v>CO2</v>
          </cell>
          <cell r="C145" t="str">
            <v>VAR_fout</v>
          </cell>
          <cell r="D145" t="str">
            <v>D-ENGA</v>
          </cell>
          <cell r="E145">
            <v>311.21230517342502</v>
          </cell>
          <cell r="F145">
            <v>159.06308793698901</v>
          </cell>
          <cell r="G145">
            <v>30.724376081301902</v>
          </cell>
        </row>
        <row r="146">
          <cell r="B146" t="str">
            <v>CO2</v>
          </cell>
          <cell r="C146" t="str">
            <v>VAR_fout</v>
          </cell>
          <cell r="D146" t="str">
            <v>D-ILFO</v>
          </cell>
          <cell r="E146">
            <v>688.91591836512703</v>
          </cell>
          <cell r="F146">
            <v>659.57627639537895</v>
          </cell>
          <cell r="G146">
            <v>602.63658619310797</v>
          </cell>
          <cell r="H146">
            <v>506.18838422037601</v>
          </cell>
          <cell r="I146">
            <v>206.098750422325</v>
          </cell>
          <cell r="J146">
            <v>4.3657711158121601E-4</v>
          </cell>
        </row>
        <row r="147">
          <cell r="B147" t="str">
            <v>CO2</v>
          </cell>
          <cell r="C147" t="str">
            <v>VAR_fout</v>
          </cell>
          <cell r="D147" t="str">
            <v>ITOT-CHPWSTCCS</v>
          </cell>
          <cell r="I147">
            <v>-125.79888043790901</v>
          </cell>
          <cell r="J147">
            <v>-715.096762169454</v>
          </cell>
        </row>
        <row r="148">
          <cell r="B148" t="str">
            <v>CO2</v>
          </cell>
          <cell r="C148" t="str">
            <v>VAR_fout</v>
          </cell>
          <cell r="D148" t="str">
            <v>ITOT-CHPNGACCS</v>
          </cell>
          <cell r="I148">
            <v>-0.27945735800204102</v>
          </cell>
          <cell r="J148">
            <v>-37.972723768837099</v>
          </cell>
        </row>
        <row r="149">
          <cell r="B149" t="str">
            <v>CO2</v>
          </cell>
          <cell r="C149" t="str">
            <v>VAR_fout</v>
          </cell>
          <cell r="D149" t="str">
            <v>D-TDSL</v>
          </cell>
          <cell r="E149">
            <v>8675.3499641375201</v>
          </cell>
          <cell r="F149">
            <v>8259.88699926359</v>
          </cell>
          <cell r="G149">
            <v>7097.6309667968699</v>
          </cell>
          <cell r="H149">
            <v>4849.7813142395098</v>
          </cell>
          <cell r="I149">
            <v>2168.0059184001302</v>
          </cell>
          <cell r="J149">
            <v>2.39652100819377</v>
          </cell>
        </row>
        <row r="150">
          <cell r="B150" t="str">
            <v>CO2</v>
          </cell>
          <cell r="C150" t="str">
            <v>VAR_fout</v>
          </cell>
          <cell r="D150" t="str">
            <v>ITOT-PROCESSCO2</v>
          </cell>
          <cell r="E150">
            <v>2089.34680048464</v>
          </cell>
          <cell r="F150">
            <v>2111.0131698740802</v>
          </cell>
          <cell r="G150">
            <v>2102.26947106126</v>
          </cell>
          <cell r="H150">
            <v>2093.6573221219301</v>
          </cell>
          <cell r="I150">
            <v>2077.4168175129798</v>
          </cell>
          <cell r="J150">
            <v>2063.7495876142302</v>
          </cell>
        </row>
        <row r="151">
          <cell r="B151" t="str">
            <v>CO2</v>
          </cell>
          <cell r="C151" t="str">
            <v>VAR_fout</v>
          </cell>
          <cell r="D151" t="str">
            <v>D-ELFO</v>
          </cell>
          <cell r="E151">
            <v>26.383783520098</v>
          </cell>
          <cell r="F151">
            <v>16.383116732623101</v>
          </cell>
          <cell r="G151">
            <v>5.5385644667565002</v>
          </cell>
          <cell r="H151">
            <v>4.8771235164047004</v>
          </cell>
          <cell r="I151">
            <v>36.9625128668374</v>
          </cell>
          <cell r="J151">
            <v>1.7268202090473101E-2</v>
          </cell>
        </row>
        <row r="152">
          <cell r="B152" t="str">
            <v>CO2</v>
          </cell>
          <cell r="C152" t="str">
            <v>VAR_fout</v>
          </cell>
          <cell r="D152" t="str">
            <v>D-TNGA</v>
          </cell>
          <cell r="E152">
            <v>16.139502196631799</v>
          </cell>
          <cell r="F152">
            <v>8.5189750627819993</v>
          </cell>
          <cell r="G152">
            <v>13.5438457050026</v>
          </cell>
          <cell r="H152">
            <v>0.27940581755945498</v>
          </cell>
          <cell r="I152">
            <v>0.205187151314114</v>
          </cell>
          <cell r="J152">
            <v>1.66987846480024E-2</v>
          </cell>
        </row>
        <row r="153">
          <cell r="B153" t="str">
            <v>CO2</v>
          </cell>
          <cell r="C153" t="str">
            <v>VAR_fout</v>
          </cell>
          <cell r="D153" t="str">
            <v>D-SNGA</v>
          </cell>
          <cell r="E153">
            <v>1522.0134858629399</v>
          </cell>
          <cell r="F153">
            <v>1518.9883110165599</v>
          </cell>
          <cell r="G153">
            <v>1356.07481444165</v>
          </cell>
          <cell r="H153">
            <v>960.52364632761601</v>
          </cell>
          <cell r="I153">
            <v>368.27300230639401</v>
          </cell>
          <cell r="J153">
            <v>189.519765461448</v>
          </cell>
        </row>
        <row r="154">
          <cell r="B154" t="str">
            <v>CO2</v>
          </cell>
          <cell r="C154" t="str">
            <v>VAR_fout</v>
          </cell>
          <cell r="D154" t="str">
            <v>CO2compabroad</v>
          </cell>
          <cell r="H154">
            <v>-2160.1082964877401</v>
          </cell>
          <cell r="I154">
            <v>-1765.0668800946601</v>
          </cell>
          <cell r="J154">
            <v>-4999.9999441591399</v>
          </cell>
        </row>
        <row r="155">
          <cell r="B155" t="str">
            <v>CO2</v>
          </cell>
          <cell r="C155" t="str">
            <v>VAR_fout</v>
          </cell>
          <cell r="D155" t="str">
            <v>D-RNGA</v>
          </cell>
          <cell r="E155">
            <v>2650.9144664662499</v>
          </cell>
          <cell r="F155">
            <v>2620.17456427978</v>
          </cell>
          <cell r="G155">
            <v>2645.4847315923598</v>
          </cell>
          <cell r="H155">
            <v>1945.5026783291901</v>
          </cell>
          <cell r="I155">
            <v>787.99989838033503</v>
          </cell>
          <cell r="J155">
            <v>450.76284176935701</v>
          </cell>
        </row>
        <row r="156">
          <cell r="B156" t="str">
            <v>CO2</v>
          </cell>
          <cell r="C156" t="str">
            <v>VAR_fout</v>
          </cell>
          <cell r="D156" t="str">
            <v>D-IHFO</v>
          </cell>
          <cell r="E156">
            <v>213.78142314578301</v>
          </cell>
          <cell r="F156">
            <v>182.88656221462699</v>
          </cell>
          <cell r="G156">
            <v>0.141615471207337</v>
          </cell>
          <cell r="H156">
            <v>1.69317960382258E-2</v>
          </cell>
          <cell r="I156">
            <v>6.3027285407847994E-2</v>
          </cell>
        </row>
        <row r="157">
          <cell r="B157" t="str">
            <v>CO2</v>
          </cell>
          <cell r="C157" t="str">
            <v>VAR_fout</v>
          </cell>
          <cell r="D157" t="str">
            <v>SUP_WSTHTGBIOCCS</v>
          </cell>
          <cell r="I157">
            <v>-2.3627266439541299E-3</v>
          </cell>
          <cell r="J157">
            <v>-3.1680892433392301E-3</v>
          </cell>
        </row>
        <row r="158">
          <cell r="B158" t="str">
            <v>CO2</v>
          </cell>
          <cell r="C158" t="str">
            <v>VAR_fout</v>
          </cell>
          <cell r="D158" t="str">
            <v>D-SLFO</v>
          </cell>
          <cell r="E158">
            <v>2267.7888139432998</v>
          </cell>
          <cell r="F158">
            <v>2007.503114822</v>
          </cell>
          <cell r="G158">
            <v>1834.5721314683201</v>
          </cell>
          <cell r="H158">
            <v>955.88575200966795</v>
          </cell>
          <cell r="I158">
            <v>252.85870209132</v>
          </cell>
          <cell r="J158">
            <v>4.4756523642558601E-4</v>
          </cell>
        </row>
        <row r="159">
          <cell r="B159" t="str">
            <v>CO2</v>
          </cell>
          <cell r="C159" t="str">
            <v>VAR_fout</v>
          </cell>
          <cell r="D159" t="str">
            <v>D-RCOA</v>
          </cell>
          <cell r="E159">
            <v>9.2704652073329701</v>
          </cell>
          <cell r="F159">
            <v>9.2702397763347104</v>
          </cell>
          <cell r="G159">
            <v>2.40310287792264</v>
          </cell>
          <cell r="H159">
            <v>4.3282398721534401E-2</v>
          </cell>
        </row>
        <row r="160">
          <cell r="B160" t="str">
            <v>CO2</v>
          </cell>
          <cell r="C160" t="str">
            <v>VAR_fout</v>
          </cell>
          <cell r="D160" t="str">
            <v>ITOT-CHPWODCCS</v>
          </cell>
          <cell r="I160">
            <v>-333.69104187860501</v>
          </cell>
          <cell r="J160">
            <v>-704.11576877599396</v>
          </cell>
        </row>
        <row r="161">
          <cell r="B161" t="str">
            <v>CO2</v>
          </cell>
          <cell r="C161" t="str">
            <v>VAR_fout</v>
          </cell>
          <cell r="D161" t="str">
            <v>D-RLFO</v>
          </cell>
          <cell r="E161">
            <v>4514.4853319508002</v>
          </cell>
          <cell r="F161">
            <v>3846.5288058136298</v>
          </cell>
          <cell r="G161">
            <v>3594.2138592535298</v>
          </cell>
          <cell r="H161">
            <v>1675.18107709779</v>
          </cell>
          <cell r="I161">
            <v>351.57336913264498</v>
          </cell>
          <cell r="J161">
            <v>5.3902002405587196E-4</v>
          </cell>
        </row>
        <row r="162">
          <cell r="B162" t="str">
            <v>CO2</v>
          </cell>
          <cell r="C162" t="str">
            <v>VAR_fout</v>
          </cell>
          <cell r="D162" t="str">
            <v>D-TGSL</v>
          </cell>
          <cell r="E162">
            <v>5894.6616604480396</v>
          </cell>
          <cell r="F162">
            <v>5597.8085672428097</v>
          </cell>
          <cell r="G162">
            <v>5300.4270544092496</v>
          </cell>
          <cell r="H162">
            <v>3191.7908723443702</v>
          </cell>
          <cell r="I162">
            <v>418.32095246849701</v>
          </cell>
          <cell r="J162">
            <v>11.946878798407599</v>
          </cell>
        </row>
        <row r="163">
          <cell r="B163" t="str">
            <v>CO2</v>
          </cell>
          <cell r="C163" t="str">
            <v>VAR_fout</v>
          </cell>
          <cell r="D163" t="str">
            <v>EWOD-CCS</v>
          </cell>
          <cell r="I163">
            <v>-0.12680718719603001</v>
          </cell>
          <cell r="J163">
            <v>-0.79355327957681798</v>
          </cell>
        </row>
        <row r="164">
          <cell r="B164" t="str">
            <v>CO2</v>
          </cell>
          <cell r="C164" t="str">
            <v>VAR_fout</v>
          </cell>
          <cell r="D164" t="str">
            <v>ITOT-PROCESSCO2CCS</v>
          </cell>
          <cell r="I164">
            <v>-3.6214404884144999E-2</v>
          </cell>
          <cell r="J164">
            <v>-1031.88772049714</v>
          </cell>
        </row>
        <row r="165">
          <cell r="B165" t="str">
            <v>CO2</v>
          </cell>
          <cell r="C165" t="str">
            <v>VAR_fout</v>
          </cell>
          <cell r="D165" t="str">
            <v>D-IWST</v>
          </cell>
          <cell r="E165">
            <v>1068.1312673499599</v>
          </cell>
          <cell r="F165">
            <v>1094.48255995865</v>
          </cell>
          <cell r="G165">
            <v>1024.6415853025201</v>
          </cell>
          <cell r="H165">
            <v>1013.19803561755</v>
          </cell>
          <cell r="I165">
            <v>996.69849320676303</v>
          </cell>
          <cell r="J165">
            <v>986.58543516564896</v>
          </cell>
        </row>
        <row r="166">
          <cell r="B166" t="str">
            <v>CO2</v>
          </cell>
          <cell r="C166" t="str">
            <v>VAR_fout</v>
          </cell>
          <cell r="D166" t="str">
            <v>SUP_WODH2CCS</v>
          </cell>
          <cell r="J166">
            <v>-971.30462515719296</v>
          </cell>
        </row>
        <row r="167">
          <cell r="B167" t="str">
            <v>CO2</v>
          </cell>
          <cell r="C167" t="str">
            <v>VAR_fout</v>
          </cell>
          <cell r="D167" t="str">
            <v>SUP_WODBIOCCS</v>
          </cell>
          <cell r="I167">
            <v>-1.20515769059025E-2</v>
          </cell>
          <cell r="J167">
            <v>-1.4288686561813001E-2</v>
          </cell>
        </row>
        <row r="168">
          <cell r="B168" t="str">
            <v>CO2</v>
          </cell>
          <cell r="C168" t="str">
            <v>VAR_fout</v>
          </cell>
          <cell r="D168" t="str">
            <v>SUP_NGAH2CCS</v>
          </cell>
          <cell r="J168">
            <v>-14.4747305977713</v>
          </cell>
        </row>
        <row r="169">
          <cell r="B169" t="str">
            <v>CO2</v>
          </cell>
          <cell r="C169" t="str">
            <v>VAR_fout</v>
          </cell>
          <cell r="D169" t="str">
            <v>CT_CWODETHCCS</v>
          </cell>
          <cell r="I169">
            <v>-1.2548817296998099E-3</v>
          </cell>
          <cell r="J169">
            <v>-1.6887572251835601E-3</v>
          </cell>
        </row>
        <row r="170">
          <cell r="B170" t="str">
            <v>CO2</v>
          </cell>
          <cell r="C170" t="str">
            <v>VAR_fout</v>
          </cell>
          <cell r="D170" t="str">
            <v>D-TKER</v>
          </cell>
          <cell r="E170">
            <v>80.715281935522</v>
          </cell>
          <cell r="F170">
            <v>102.298470082587</v>
          </cell>
          <cell r="G170">
            <v>134.54789822638901</v>
          </cell>
          <cell r="H170">
            <v>184.77282309823701</v>
          </cell>
          <cell r="I170">
            <v>156.62435553143399</v>
          </cell>
          <cell r="J170">
            <v>1.0808167019305899E-5</v>
          </cell>
        </row>
        <row r="171">
          <cell r="B171" t="str">
            <v>CO2</v>
          </cell>
          <cell r="C171" t="str">
            <v>VAR_fout</v>
          </cell>
          <cell r="D171" t="str">
            <v>D-INGA</v>
          </cell>
          <cell r="E171">
            <v>2101.4659029520699</v>
          </cell>
          <cell r="F171">
            <v>1712.26856998721</v>
          </cell>
          <cell r="G171">
            <v>1818.92425186937</v>
          </cell>
          <cell r="H171">
            <v>1280.3234489359199</v>
          </cell>
          <cell r="I171">
            <v>771.24238585446903</v>
          </cell>
          <cell r="J171">
            <v>115.419987734871</v>
          </cell>
        </row>
        <row r="172">
          <cell r="B172" t="str">
            <v>CO2</v>
          </cell>
          <cell r="C172" t="str">
            <v>VAR_fout</v>
          </cell>
          <cell r="D172" t="str">
            <v>SUP_DAC</v>
          </cell>
          <cell r="I172">
            <v>-2.8106686053595499E-3</v>
          </cell>
          <cell r="J172">
            <v>-9.9542328361672608E-3</v>
          </cell>
        </row>
        <row r="173">
          <cell r="B173" t="str">
            <v>CO2</v>
          </cell>
          <cell r="C173" t="str">
            <v>VAR_fout</v>
          </cell>
          <cell r="D173" t="str">
            <v>CT_CWODBDSCCS</v>
          </cell>
          <cell r="I173">
            <v>-9.9329309749504706E-3</v>
          </cell>
          <cell r="J173">
            <v>-444.86983649063001</v>
          </cell>
        </row>
        <row r="174">
          <cell r="B174" t="str">
            <v>CO2</v>
          </cell>
          <cell r="C174" t="str">
            <v>VAR_fout</v>
          </cell>
          <cell r="D174" t="str">
            <v>D-EWST</v>
          </cell>
          <cell r="E174">
            <v>2266.2755020366299</v>
          </cell>
          <cell r="F174">
            <v>2235.4034337000598</v>
          </cell>
          <cell r="G174">
            <v>2268.7797067596398</v>
          </cell>
          <cell r="H174">
            <v>2238.51141738761</v>
          </cell>
          <cell r="I174">
            <v>2266.1010268326199</v>
          </cell>
          <cell r="J174">
            <v>2340.56368664604</v>
          </cell>
        </row>
        <row r="175">
          <cell r="B175" t="str">
            <v>CO2</v>
          </cell>
          <cell r="C175" t="str">
            <v>VAR_comnet</v>
          </cell>
          <cell r="D175" t="str">
            <v>-</v>
          </cell>
          <cell r="E175">
            <v>44195.454322612502</v>
          </cell>
          <cell r="F175">
            <v>41479.399557681398</v>
          </cell>
          <cell r="G175">
            <v>38498.840353795698</v>
          </cell>
          <cell r="H175">
            <v>27528.9294462045</v>
          </cell>
          <cell r="I175">
            <v>13970.922217085899</v>
          </cell>
          <cell r="J175">
            <v>-1.5967835329636199E-5</v>
          </cell>
        </row>
        <row r="176">
          <cell r="B176" t="str">
            <v>CO2</v>
          </cell>
          <cell r="C176" t="str">
            <v>EQ_combalM</v>
          </cell>
          <cell r="D176" t="str">
            <v>-</v>
          </cell>
          <cell r="H176">
            <v>-0.11715170843358801</v>
          </cell>
          <cell r="I176">
            <v>-0.27831487631607599</v>
          </cell>
          <cell r="J176">
            <v>-0.594487400798002</v>
          </cell>
        </row>
        <row r="177">
          <cell r="B177" t="str">
            <v>CO2_X</v>
          </cell>
          <cell r="C177" t="str">
            <v>VAR_fout</v>
          </cell>
          <cell r="D177" t="str">
            <v>D-CO2_O</v>
          </cell>
          <cell r="I177">
            <v>988.74831920913675</v>
          </cell>
          <cell r="J177">
            <v>4253.2242495804721</v>
          </cell>
        </row>
        <row r="178">
          <cell r="B178" t="str">
            <v>CO2_X</v>
          </cell>
          <cell r="C178" t="str">
            <v>VAR_fin</v>
          </cell>
          <cell r="D178" t="str">
            <v>CO2EXP</v>
          </cell>
          <cell r="I178">
            <v>988.74831920913675</v>
          </cell>
          <cell r="J178">
            <v>4253.2242495804721</v>
          </cell>
        </row>
        <row r="179">
          <cell r="B179" t="str">
            <v>CO2_X</v>
          </cell>
          <cell r="C179" t="str">
            <v>EQ_combalM</v>
          </cell>
          <cell r="D179" t="str">
            <v>-</v>
          </cell>
          <cell r="I179">
            <v>-14.612835523726313</v>
          </cell>
          <cell r="J179">
            <v>2.0169936263983752</v>
          </cell>
        </row>
        <row r="180">
          <cell r="B180" t="str">
            <v>CO2seq</v>
          </cell>
          <cell r="C180" t="str">
            <v>VAR_fout</v>
          </cell>
          <cell r="D180" t="str">
            <v>CO2SINK</v>
          </cell>
          <cell r="I180">
            <v>833.34152175389818</v>
          </cell>
          <cell r="J180">
            <v>1904.7648029305308</v>
          </cell>
        </row>
        <row r="181">
          <cell r="B181" t="str">
            <v>CO2seq</v>
          </cell>
          <cell r="C181" t="str">
            <v>VAR_comnet</v>
          </cell>
          <cell r="D181" t="str">
            <v>-</v>
          </cell>
          <cell r="I181">
            <v>833.34152175389818</v>
          </cell>
          <cell r="J181">
            <v>1904.7648029305308</v>
          </cell>
        </row>
        <row r="182">
          <cell r="B182" t="str">
            <v>CO2_SECTOR</v>
          </cell>
          <cell r="C182" t="str">
            <v>VAR_fout</v>
          </cell>
          <cell r="D182" t="str">
            <v>CO2_IND</v>
          </cell>
          <cell r="E182">
            <v>6491.6558322227047</v>
          </cell>
          <cell r="F182">
            <v>6081.4069711971424</v>
          </cell>
          <cell r="G182">
            <v>5651.1574277191148</v>
          </cell>
          <cell r="H182">
            <v>4893.3996750217757</v>
          </cell>
          <cell r="I182">
            <v>4051.5795506477107</v>
          </cell>
          <cell r="J182">
            <v>3165.7741180914995</v>
          </cell>
        </row>
        <row r="183">
          <cell r="B183" t="str">
            <v>CO2_SECTOR</v>
          </cell>
          <cell r="C183" t="str">
            <v>VAR_fout</v>
          </cell>
          <cell r="D183" t="str">
            <v>CO2_RES</v>
          </cell>
          <cell r="E183">
            <v>7174.6702636243726</v>
          </cell>
          <cell r="F183">
            <v>6475.9736098697476</v>
          </cell>
          <cell r="G183">
            <v>6242.1016937238091</v>
          </cell>
          <cell r="H183">
            <v>3620.7270378257053</v>
          </cell>
          <cell r="I183">
            <v>1139.57326751298</v>
          </cell>
          <cell r="J183">
            <v>450.76338078938124</v>
          </cell>
        </row>
        <row r="184">
          <cell r="B184" t="str">
            <v>CO2_SECTOR</v>
          </cell>
          <cell r="C184" t="str">
            <v>VAR_fout</v>
          </cell>
          <cell r="D184" t="str">
            <v>CO2_TRA</v>
          </cell>
          <cell r="E184">
            <v>14665.680208481075</v>
          </cell>
          <cell r="F184">
            <v>13967.00962262173</v>
          </cell>
          <cell r="G184">
            <v>12544.172435133998</v>
          </cell>
          <cell r="H184">
            <v>8223.9089747401958</v>
          </cell>
          <cell r="I184">
            <v>2740.8546456192498</v>
          </cell>
          <cell r="J184">
            <v>14.36010924057846</v>
          </cell>
        </row>
        <row r="185">
          <cell r="B185" t="str">
            <v>CO2_SECTOR</v>
          </cell>
          <cell r="C185" t="str">
            <v>VAR_fout</v>
          </cell>
          <cell r="D185" t="str">
            <v>CO2_ELC</v>
          </cell>
          <cell r="E185">
            <v>2603.8715907301498</v>
          </cell>
          <cell r="F185">
            <v>2410.8496383696752</v>
          </cell>
          <cell r="G185">
            <v>2305.0426473076982</v>
          </cell>
          <cell r="H185">
            <v>2243.3885409040154</v>
          </cell>
          <cell r="I185">
            <v>2303.0635396994603</v>
          </cell>
          <cell r="J185">
            <v>2340.5809548481338</v>
          </cell>
        </row>
        <row r="186">
          <cell r="B186" t="str">
            <v>CO2_SECTOR</v>
          </cell>
          <cell r="C186" t="str">
            <v>VAR_fout</v>
          </cell>
          <cell r="D186" t="str">
            <v>CO2_SER</v>
          </cell>
          <cell r="E186">
            <v>3789.8022998062343</v>
          </cell>
          <cell r="F186">
            <v>3526.4914258385643</v>
          </cell>
          <cell r="G186">
            <v>3190.646945909969</v>
          </cell>
          <cell r="H186">
            <v>1916.409398337285</v>
          </cell>
          <cell r="I186">
            <v>621.13170439771432</v>
          </cell>
          <cell r="J186">
            <v>189.52021302668385</v>
          </cell>
        </row>
        <row r="187">
          <cell r="B187" t="str">
            <v>CO2_SECTOR</v>
          </cell>
          <cell r="C187" t="str">
            <v>VAR_fout</v>
          </cell>
          <cell r="D187" t="str">
            <v>CO2_ELCCCS</v>
          </cell>
          <cell r="E187">
            <v>2603.8715907301498</v>
          </cell>
          <cell r="F187">
            <v>2410.8496383696752</v>
          </cell>
          <cell r="G187">
            <v>2305.0426473076982</v>
          </cell>
          <cell r="H187">
            <v>2243.3885409040154</v>
          </cell>
          <cell r="I187">
            <v>871.5633842469307</v>
          </cell>
          <cell r="J187">
            <v>87.949464348714145</v>
          </cell>
        </row>
        <row r="188">
          <cell r="B188" t="str">
            <v>CO2_SECTOR</v>
          </cell>
          <cell r="C188" t="str">
            <v>VAR_fout</v>
          </cell>
          <cell r="D188" t="str">
            <v>CO2_H2CCS</v>
          </cell>
          <cell r="I188">
            <v>-2.5310305729451119E-2</v>
          </cell>
          <cell r="J188">
            <v>-1430.6673240447894</v>
          </cell>
        </row>
        <row r="189">
          <cell r="B189" t="str">
            <v>CO2_SECTOR</v>
          </cell>
          <cell r="C189" t="str">
            <v>VAR_fout</v>
          </cell>
          <cell r="D189" t="str">
            <v>CO2_INDCCS</v>
          </cell>
          <cell r="E189">
            <v>6491.6558322227047</v>
          </cell>
          <cell r="F189">
            <v>6081.4069711971424</v>
          </cell>
          <cell r="G189">
            <v>5651.1574277191148</v>
          </cell>
          <cell r="H189">
            <v>4893.3982453732378</v>
          </cell>
          <cell r="I189">
            <v>3591.771498898047</v>
          </cell>
          <cell r="J189">
            <v>676.70848565998824</v>
          </cell>
        </row>
        <row r="190">
          <cell r="B190" t="str">
            <v>CO2_SECTOR</v>
          </cell>
          <cell r="C190" t="str">
            <v>VAR_comnet</v>
          </cell>
          <cell r="D190" t="str">
            <v>-</v>
          </cell>
          <cell r="E190">
            <v>43821.20761781741</v>
          </cell>
          <cell r="F190">
            <v>40953.987877463675</v>
          </cell>
          <cell r="G190">
            <v>37889.321224821426</v>
          </cell>
          <cell r="H190">
            <v>28034.620413106233</v>
          </cell>
          <cell r="I190">
            <v>15319.512280716344</v>
          </cell>
          <cell r="J190">
            <v>5494.9894019601952</v>
          </cell>
        </row>
        <row r="191">
          <cell r="B191" t="str">
            <v>CO2SC</v>
          </cell>
          <cell r="C191" t="str">
            <v>VAR_fout</v>
          </cell>
          <cell r="D191" t="str">
            <v>CO2S1</v>
          </cell>
          <cell r="E191">
            <v>6307.1990227535098</v>
          </cell>
          <cell r="F191">
            <v>6307.1990227535098</v>
          </cell>
          <cell r="G191">
            <v>6307.1990227535098</v>
          </cell>
          <cell r="H191">
            <v>6307.1990227535098</v>
          </cell>
          <cell r="I191">
            <v>6307.1990227535098</v>
          </cell>
          <cell r="J191">
            <v>6307.1990227535098</v>
          </cell>
        </row>
        <row r="192">
          <cell r="B192" t="str">
            <v>CO2SC</v>
          </cell>
          <cell r="C192" t="str">
            <v>VAR_fout</v>
          </cell>
          <cell r="D192" t="str">
            <v>CO2S2</v>
          </cell>
          <cell r="J192">
            <v>3.5199574299760003E-5</v>
          </cell>
        </row>
        <row r="193">
          <cell r="B193" t="str">
            <v>CO2SC</v>
          </cell>
          <cell r="C193" t="str">
            <v>VAR_fin</v>
          </cell>
          <cell r="D193" t="str">
            <v>CO2EXP</v>
          </cell>
          <cell r="I193">
            <v>988.74831920913596</v>
          </cell>
          <cell r="J193">
            <v>4253.2242495804803</v>
          </cell>
        </row>
        <row r="194">
          <cell r="B194" t="str">
            <v>CO2SC</v>
          </cell>
          <cell r="C194" t="str">
            <v>EQ_combalM</v>
          </cell>
          <cell r="D194" t="str">
            <v>-</v>
          </cell>
          <cell r="J194">
            <v>-2.8848671640421501E-8</v>
          </cell>
        </row>
        <row r="195">
          <cell r="B195" t="str">
            <v>CO2P</v>
          </cell>
          <cell r="C195" t="str">
            <v>VAR_fout</v>
          </cell>
          <cell r="D195" t="str">
            <v>ITOT-PROCESSCO2</v>
          </cell>
          <cell r="E195">
            <v>2089.34680048464</v>
          </cell>
          <cell r="F195">
            <v>2111.0131698740802</v>
          </cell>
          <cell r="G195">
            <v>2102.26947106126</v>
          </cell>
          <cell r="H195">
            <v>2093.6573221219292</v>
          </cell>
          <cell r="I195">
            <v>2077.4168175129753</v>
          </cell>
          <cell r="J195">
            <v>2063.7495876142257</v>
          </cell>
        </row>
        <row r="196">
          <cell r="B196" t="str">
            <v>CO2P</v>
          </cell>
          <cell r="C196" t="str">
            <v>VAR_comnet</v>
          </cell>
          <cell r="D196" t="str">
            <v>-</v>
          </cell>
          <cell r="E196">
            <v>2089.34680048464</v>
          </cell>
          <cell r="F196">
            <v>2111.0131698740802</v>
          </cell>
          <cell r="G196">
            <v>2102.26947106126</v>
          </cell>
          <cell r="H196">
            <v>2093.6573221219292</v>
          </cell>
          <cell r="I196">
            <v>2077.4168175129753</v>
          </cell>
          <cell r="J196">
            <v>2063.7495876142257</v>
          </cell>
        </row>
        <row r="197">
          <cell r="B197" t="str">
            <v>CO2_E</v>
          </cell>
          <cell r="C197" t="str">
            <v>VAR_fout</v>
          </cell>
          <cell r="D197" t="str">
            <v>EWSTINCCS</v>
          </cell>
          <cell r="I197">
            <v>750.15977760982003</v>
          </cell>
          <cell r="J197">
            <v>1220.0793473060301</v>
          </cell>
        </row>
        <row r="198">
          <cell r="B198" t="str">
            <v>CO2_E</v>
          </cell>
          <cell r="C198" t="str">
            <v>VAR_fout</v>
          </cell>
          <cell r="D198" t="str">
            <v>CHPWSTCCS</v>
          </cell>
          <cell r="I198">
            <v>827.81109796284204</v>
          </cell>
          <cell r="J198">
            <v>1235.3909881014499</v>
          </cell>
        </row>
        <row r="199">
          <cell r="B199" t="str">
            <v>CO2_E</v>
          </cell>
          <cell r="C199" t="str">
            <v>VAR_fout</v>
          </cell>
          <cell r="D199" t="str">
            <v>HPLNGA</v>
          </cell>
          <cell r="E199">
            <v>114.384137024918</v>
          </cell>
          <cell r="F199">
            <v>158.51965053387099</v>
          </cell>
          <cell r="G199">
            <v>33.630846941197397</v>
          </cell>
        </row>
        <row r="200">
          <cell r="B200" t="str">
            <v>CO2_E</v>
          </cell>
          <cell r="C200" t="str">
            <v>VAR_fout</v>
          </cell>
          <cell r="D200" t="str">
            <v>CHPWST</v>
          </cell>
          <cell r="E200">
            <v>2843.2575576962099</v>
          </cell>
          <cell r="F200">
            <v>2574.9232406743199</v>
          </cell>
          <cell r="G200">
            <v>2613.3181976564301</v>
          </cell>
          <cell r="H200">
            <v>2556.3793151035702</v>
          </cell>
          <cell r="I200">
            <v>1647.8017189356101</v>
          </cell>
          <cell r="J200">
            <v>1005.49331464711</v>
          </cell>
        </row>
        <row r="201">
          <cell r="B201" t="str">
            <v>CO2_E</v>
          </cell>
          <cell r="C201" t="str">
            <v>VAR_fout</v>
          </cell>
          <cell r="D201" t="str">
            <v>CHPNGA</v>
          </cell>
          <cell r="E201">
            <v>207.19866796894601</v>
          </cell>
          <cell r="F201">
            <v>3.7628087457381401E-2</v>
          </cell>
          <cell r="G201">
            <v>0.175681278228629</v>
          </cell>
        </row>
        <row r="202">
          <cell r="B202" t="str">
            <v>CO2_E</v>
          </cell>
          <cell r="C202" t="str">
            <v>VAR_fout</v>
          </cell>
          <cell r="D202" t="str">
            <v>EWSTINC</v>
          </cell>
          <cell r="E202">
            <v>1689.29344637704</v>
          </cell>
          <cell r="F202">
            <v>1895.8839294844699</v>
          </cell>
          <cell r="G202">
            <v>1924.2413307762199</v>
          </cell>
          <cell r="H202">
            <v>1920.6431984947101</v>
          </cell>
          <cell r="I202">
            <v>1306.43128669114</v>
          </cell>
          <cell r="J202">
            <v>1220.1663605297399</v>
          </cell>
        </row>
        <row r="203">
          <cell r="B203" t="str">
            <v>CO2_E</v>
          </cell>
          <cell r="C203" t="str">
            <v>VAR_fout</v>
          </cell>
          <cell r="D203" t="str">
            <v>ENGA-GTCC</v>
          </cell>
          <cell r="I203">
            <v>1.1741533398207701E-3</v>
          </cell>
          <cell r="J203">
            <v>0.94057846319972205</v>
          </cell>
        </row>
        <row r="204">
          <cell r="B204" t="str">
            <v>CO2_E</v>
          </cell>
          <cell r="C204" t="str">
            <v>VAR_fout</v>
          </cell>
          <cell r="D204" t="str">
            <v>HPLOIL</v>
          </cell>
          <cell r="E204">
            <v>15.8777253760726</v>
          </cell>
          <cell r="F204">
            <v>16.031918583048</v>
          </cell>
          <cell r="G204">
            <v>4.5892422784973803</v>
          </cell>
          <cell r="H204">
            <v>4.6228136046263</v>
          </cell>
          <cell r="I204">
            <v>8.4177623102157893E-3</v>
          </cell>
          <cell r="J204">
            <v>4.8860821583614504E-4</v>
          </cell>
        </row>
        <row r="205">
          <cell r="B205" t="str">
            <v>CO2_E</v>
          </cell>
          <cell r="C205" t="str">
            <v>VAR_fout</v>
          </cell>
          <cell r="D205" t="str">
            <v>EOIL-ENG</v>
          </cell>
          <cell r="E205">
            <v>8.6181843970662904</v>
          </cell>
          <cell r="F205">
            <v>3.6826179572732598E-2</v>
          </cell>
          <cell r="G205">
            <v>0.42134285892673201</v>
          </cell>
          <cell r="H205">
            <v>5.6528891852736199E-2</v>
          </cell>
          <cell r="I205">
            <v>36.044441393060197</v>
          </cell>
          <cell r="J205">
            <v>9.5019593443243597E-3</v>
          </cell>
        </row>
        <row r="206">
          <cell r="B206" t="str">
            <v>CO2_E</v>
          </cell>
          <cell r="C206" t="str">
            <v>VAR_fout</v>
          </cell>
          <cell r="D206" t="str">
            <v>ENGA-GTOC</v>
          </cell>
          <cell r="I206">
            <v>9.5339619433236695E-4</v>
          </cell>
          <cell r="J206">
            <v>3.17575515528653</v>
          </cell>
        </row>
        <row r="207">
          <cell r="B207" t="str">
            <v>CO2_E</v>
          </cell>
          <cell r="C207" t="str">
            <v>VAR_fout</v>
          </cell>
          <cell r="D207" t="str">
            <v>CHPOIL</v>
          </cell>
          <cell r="E207">
            <v>1.4472338146332</v>
          </cell>
          <cell r="F207">
            <v>4.0963646503104002E-2</v>
          </cell>
          <cell r="G207">
            <v>0.43637138495787298</v>
          </cell>
          <cell r="H207">
            <v>0.116439652066465</v>
          </cell>
          <cell r="I207">
            <v>0.30023913217898701</v>
          </cell>
          <cell r="J207">
            <v>7.8481263157287196E-3</v>
          </cell>
        </row>
        <row r="208">
          <cell r="B208" t="str">
            <v>CO2_E</v>
          </cell>
          <cell r="C208" t="str">
            <v>VAR_comnet</v>
          </cell>
          <cell r="D208" t="str">
            <v>-</v>
          </cell>
          <cell r="E208">
            <v>4880.0769526548902</v>
          </cell>
          <cell r="F208">
            <v>4645.47415718924</v>
          </cell>
          <cell r="G208">
            <v>4576.8130131744501</v>
          </cell>
          <cell r="H208">
            <v>4481.8182957468198</v>
          </cell>
          <cell r="I208">
            <v>4568.5591070364899</v>
          </cell>
          <cell r="J208">
            <v>4685.2641828966998</v>
          </cell>
        </row>
        <row r="209">
          <cell r="B209" t="str">
            <v>CO2_I</v>
          </cell>
          <cell r="C209" t="str">
            <v>VAR_fout</v>
          </cell>
          <cell r="D209" t="str">
            <v>ITOT-CHPNGA</v>
          </cell>
          <cell r="E209">
            <v>108.17977457611001</v>
          </cell>
          <cell r="F209">
            <v>14.384494320579099</v>
          </cell>
          <cell r="G209">
            <v>8.2628159503800305</v>
          </cell>
          <cell r="H209">
            <v>16.709956218662299</v>
          </cell>
          <cell r="I209">
            <v>104.50293739203001</v>
          </cell>
          <cell r="J209">
            <v>66.591888258231506</v>
          </cell>
        </row>
        <row r="210">
          <cell r="B210" t="str">
            <v>CO2_I</v>
          </cell>
          <cell r="C210" t="str">
            <v>VAR_fout</v>
          </cell>
          <cell r="D210" t="str">
            <v>ITOT-SWHNGABR</v>
          </cell>
          <cell r="E210">
            <v>2005.15339236201</v>
          </cell>
          <cell r="F210">
            <v>1692.43012873719</v>
          </cell>
          <cell r="G210">
            <v>1959.023467496</v>
          </cell>
          <cell r="H210">
            <v>1417.48141297906</v>
          </cell>
          <cell r="I210">
            <v>821.59678453087099</v>
          </cell>
          <cell r="J210">
            <v>163.60184311979199</v>
          </cell>
        </row>
        <row r="211">
          <cell r="B211" t="str">
            <v>CO2_I</v>
          </cell>
          <cell r="C211" t="str">
            <v>VAR_fout</v>
          </cell>
          <cell r="D211" t="str">
            <v>ITOT-CHPWSTCCS</v>
          </cell>
          <cell r="I211">
            <v>164.65227502862101</v>
          </cell>
          <cell r="J211">
            <v>986.41080819656997</v>
          </cell>
        </row>
        <row r="212">
          <cell r="B212" t="str">
            <v>CO2_I</v>
          </cell>
          <cell r="C212" t="str">
            <v>VAR_fout</v>
          </cell>
          <cell r="D212" t="str">
            <v>ITOT-SWHLFOBR</v>
          </cell>
          <cell r="E212">
            <v>655.770135009054</v>
          </cell>
          <cell r="F212">
            <v>597.31437051541195</v>
          </cell>
          <cell r="G212">
            <v>589.40725425865901</v>
          </cell>
          <cell r="H212">
            <v>466.41755212217601</v>
          </cell>
          <cell r="I212">
            <v>219.233553085951</v>
          </cell>
          <cell r="J212">
            <v>16.577374267278302</v>
          </cell>
        </row>
        <row r="213">
          <cell r="B213" t="str">
            <v>CO2_I</v>
          </cell>
          <cell r="C213" t="str">
            <v>VAR_fout</v>
          </cell>
          <cell r="D213" t="str">
            <v>ITOT-CHPNGACCS</v>
          </cell>
          <cell r="I213">
            <v>0.338966066905243</v>
          </cell>
          <cell r="J213">
            <v>42.713973904954599</v>
          </cell>
        </row>
        <row r="214">
          <cell r="B214" t="str">
            <v>CO2_I</v>
          </cell>
          <cell r="C214" t="str">
            <v>VAR_fout</v>
          </cell>
          <cell r="D214" t="str">
            <v>ITOT-CHPGFC</v>
          </cell>
          <cell r="H214">
            <v>2.4870388813430899E-2</v>
          </cell>
          <cell r="I214">
            <v>0.28190393457080298</v>
          </cell>
          <cell r="J214">
            <v>0.101156094495457</v>
          </cell>
        </row>
        <row r="215">
          <cell r="B215" t="str">
            <v>CO2_I</v>
          </cell>
          <cell r="C215" t="str">
            <v>VAR_fout</v>
          </cell>
          <cell r="D215" t="str">
            <v>ITOT-SWHCOABR</v>
          </cell>
          <cell r="E215">
            <v>330.01451992513199</v>
          </cell>
          <cell r="F215">
            <v>321.179832767194</v>
          </cell>
          <cell r="G215">
            <v>102.543917821644</v>
          </cell>
          <cell r="H215">
            <v>1.55523299656784E-2</v>
          </cell>
          <cell r="I215">
            <v>6.0076365768263099E-2</v>
          </cell>
          <cell r="J215">
            <v>1.8670999643275E-2</v>
          </cell>
        </row>
        <row r="216">
          <cell r="B216" t="str">
            <v>CO2_I</v>
          </cell>
          <cell r="C216" t="str">
            <v>VAR_fout</v>
          </cell>
          <cell r="D216" t="str">
            <v>ITOT-CHPOIL</v>
          </cell>
          <cell r="E216">
            <v>21.640084659924401</v>
          </cell>
          <cell r="F216">
            <v>51.249339860006401</v>
          </cell>
          <cell r="G216">
            <v>3.16884172532286</v>
          </cell>
          <cell r="H216">
            <v>47.897059229466798</v>
          </cell>
        </row>
        <row r="217">
          <cell r="B217" t="str">
            <v>CO2_I</v>
          </cell>
          <cell r="C217" t="str">
            <v>VAR_fout</v>
          </cell>
          <cell r="D217" t="str">
            <v>ITOT-SWHWSTBR</v>
          </cell>
          <cell r="E217">
            <v>723.65969588990902</v>
          </cell>
          <cell r="F217">
            <v>749.84011725082701</v>
          </cell>
          <cell r="G217">
            <v>520.45288752650401</v>
          </cell>
          <cell r="H217">
            <v>514.64051384798302</v>
          </cell>
          <cell r="I217">
            <v>506.11641166325001</v>
          </cell>
          <cell r="J217">
            <v>9.2443051078497401E-2</v>
          </cell>
        </row>
        <row r="218">
          <cell r="B218" t="str">
            <v>CO2_I</v>
          </cell>
          <cell r="C218" t="str">
            <v>VAR_fout</v>
          </cell>
          <cell r="D218" t="str">
            <v>ITOT-SWHNGAHP</v>
          </cell>
          <cell r="G218">
            <v>0.27459478704144802</v>
          </cell>
          <cell r="H218">
            <v>0.28529911577716599</v>
          </cell>
          <cell r="I218">
            <v>0.28469139541952898</v>
          </cell>
          <cell r="J218">
            <v>0.27470078442658902</v>
          </cell>
        </row>
        <row r="219">
          <cell r="B219" t="str">
            <v>CO2_I</v>
          </cell>
          <cell r="C219" t="str">
            <v>VAR_fout</v>
          </cell>
          <cell r="D219" t="str">
            <v>ITOT-CHPWST</v>
          </cell>
          <cell r="E219">
            <v>344.47157146004901</v>
          </cell>
          <cell r="F219">
            <v>344.64607831159702</v>
          </cell>
          <cell r="G219">
            <v>504.19684095361401</v>
          </cell>
          <cell r="H219">
            <v>498.56704393360798</v>
          </cell>
          <cell r="I219">
            <v>325.94431874725598</v>
          </cell>
          <cell r="J219">
            <v>9.2478656324287895E-2</v>
          </cell>
        </row>
        <row r="220">
          <cell r="B220" t="str">
            <v>CO2_I</v>
          </cell>
          <cell r="C220" t="str">
            <v>VAR_fout</v>
          </cell>
          <cell r="D220" t="str">
            <v>ITOT-SWHHFOBR</v>
          </cell>
          <cell r="E220">
            <v>210.21102423935901</v>
          </cell>
          <cell r="F220">
            <v>179.832143490482</v>
          </cell>
          <cell r="G220">
            <v>0.13925032780015401</v>
          </cell>
          <cell r="H220">
            <v>1.664901531215E-2</v>
          </cell>
          <cell r="I220">
            <v>6.1974656289827602E-2</v>
          </cell>
        </row>
        <row r="221">
          <cell r="B221" t="str">
            <v>CO2_I</v>
          </cell>
          <cell r="C221" t="str">
            <v>VAR_comnet</v>
          </cell>
          <cell r="D221" t="str">
            <v>-</v>
          </cell>
          <cell r="E221">
            <v>4399.1001981215504</v>
          </cell>
          <cell r="F221">
            <v>3950.8765052532899</v>
          </cell>
          <cell r="G221">
            <v>3687.46987084696</v>
          </cell>
          <cell r="H221">
            <v>2962.05590918082</v>
          </cell>
          <cell r="I221">
            <v>2143.0738928669298</v>
          </cell>
          <cell r="J221">
            <v>1276.4753373328001</v>
          </cell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2040</v>
          </cell>
          <cell r="J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1.98122934743707E-7</v>
          </cell>
          <cell r="I4">
            <v>5.79226261104525E-7</v>
          </cell>
          <cell r="J4">
            <v>5.5974721446652198E-5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I5">
            <v>1.03252742916419E-5</v>
          </cell>
          <cell r="J5">
            <v>1.02821073713632E-7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1.8455189142186399E-6</v>
          </cell>
          <cell r="I6">
            <v>2.3575611355014299E-5</v>
          </cell>
          <cell r="J6">
            <v>1.9712317928468399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3.20044689771081E-7</v>
          </cell>
          <cell r="I7">
            <v>6.6470318696888303E-5</v>
          </cell>
          <cell r="J7">
            <v>5.9566459133422295E-7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7.1509885404594202E-7</v>
          </cell>
          <cell r="F8">
            <v>1.6385750562290299E-7</v>
          </cell>
          <cell r="G8">
            <v>1.89177383623068E-7</v>
          </cell>
          <cell r="H8">
            <v>2.5409497120097201E-7</v>
          </cell>
          <cell r="I8">
            <v>9.1918312018700104E-7</v>
          </cell>
          <cell r="J8">
            <v>1.2415630155900299E-6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I9">
            <v>6.1032165423238402E-4</v>
          </cell>
          <cell r="J9">
            <v>1.1275834522606701E-6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4.0972032246380501E-3</v>
          </cell>
          <cell r="F10">
            <v>2.2999094301750699E-2</v>
          </cell>
          <cell r="G10">
            <v>2.9874251785992401E-7</v>
          </cell>
          <cell r="H10">
            <v>9.9384358122240002E-2</v>
          </cell>
          <cell r="I10">
            <v>2.5330282174595001E-2</v>
          </cell>
          <cell r="J10">
            <v>9.3009572323926606E-2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1.7321905860241601E-7</v>
          </cell>
          <cell r="F11">
            <v>1.83265668739567E-7</v>
          </cell>
          <cell r="G11">
            <v>2.19593024452646E-7</v>
          </cell>
          <cell r="H11">
            <v>2.6871897263252902E-7</v>
          </cell>
          <cell r="I11">
            <v>8.7621371003529104E-7</v>
          </cell>
          <cell r="J11">
            <v>1.2677327448432999E-2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1.4345718874730601E-2</v>
          </cell>
          <cell r="F12">
            <v>7.6699997133483994E-2</v>
          </cell>
          <cell r="G12">
            <v>1.2069559347460401E-7</v>
          </cell>
          <cell r="H12">
            <v>1.49782712458968E-7</v>
          </cell>
          <cell r="I12">
            <v>4.7210658137890799E-2</v>
          </cell>
          <cell r="J12">
            <v>5.6654115249816998E-2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J13">
            <v>1.4206033518802601E-5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1.8888060669417901E-7</v>
          </cell>
          <cell r="F14">
            <v>4.9715687658749298E-8</v>
          </cell>
          <cell r="G14">
            <v>5.41552045825361E-8</v>
          </cell>
          <cell r="H14">
            <v>6.0275025116300403E-8</v>
          </cell>
          <cell r="I14">
            <v>9.2789647410942801E-8</v>
          </cell>
          <cell r="J14">
            <v>2.2078988636959001E-7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3.3990994708365702E-6</v>
          </cell>
          <cell r="I15">
            <v>0.11658828032722</v>
          </cell>
          <cell r="J15">
            <v>4.5990325022116099E-2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8.9729149856117504E-7</v>
          </cell>
          <cell r="I16">
            <v>1.12703096127371E-2</v>
          </cell>
          <cell r="J16">
            <v>4.0079429215039301E-7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6.8198494226152005E-7</v>
          </cell>
          <cell r="I17">
            <v>0.32292869665736401</v>
          </cell>
          <cell r="J17">
            <v>0.102660230163899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3.2550052711988899E-7</v>
          </cell>
          <cell r="F18">
            <v>7.2351146476845295E-8</v>
          </cell>
          <cell r="G18">
            <v>1.08972348929727E-7</v>
          </cell>
          <cell r="H18">
            <v>1.28495166925655E-7</v>
          </cell>
          <cell r="I18">
            <v>2.5955475380499402E-7</v>
          </cell>
          <cell r="J18">
            <v>4.3804144002248698E-7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4.9504257458365002E-2</v>
          </cell>
          <cell r="F19">
            <v>8.2225073453126504E-2</v>
          </cell>
          <cell r="G19">
            <v>3.0665979060385502E-2</v>
          </cell>
          <cell r="H19">
            <v>5.0374842268144203E-6</v>
          </cell>
          <cell r="I19">
            <v>9.88434021198632E-2</v>
          </cell>
          <cell r="J19">
            <v>0.248434872012636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1.19330327068622E-7</v>
          </cell>
          <cell r="F20">
            <v>4.0079948598179699E-8</v>
          </cell>
          <cell r="G20">
            <v>5.7123100386542903E-8</v>
          </cell>
          <cell r="H20">
            <v>4.5626971232421099E-8</v>
          </cell>
          <cell r="I20">
            <v>9.1704624211913494E-8</v>
          </cell>
          <cell r="J20">
            <v>1.5268785914472999E-7</v>
          </cell>
        </row>
        <row r="21">
          <cell r="A21" t="str">
            <v>-</v>
          </cell>
          <cell r="B21" t="str">
            <v>VAR_ncap</v>
          </cell>
          <cell r="C21" t="str">
            <v>SUP_WSTHTGBIOCCS</v>
          </cell>
          <cell r="I21">
            <v>3.8541942371517701E-6</v>
          </cell>
          <cell r="J21">
            <v>1.14481277361868E-7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3.6102657523169799E-7</v>
          </cell>
          <cell r="F22">
            <v>1.43045292180839E-5</v>
          </cell>
          <cell r="G22">
            <v>8.7015715166617505E-7</v>
          </cell>
          <cell r="H22">
            <v>4.4752615869502899E-7</v>
          </cell>
          <cell r="I22">
            <v>2.8531282796427799E-6</v>
          </cell>
          <cell r="J22">
            <v>3.0356649644132898E-6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I23">
            <v>1.8060018768991401E-4</v>
          </cell>
          <cell r="J23">
            <v>9.5242307243232396E-5</v>
          </cell>
        </row>
        <row r="24">
          <cell r="A24" t="str">
            <v>-</v>
          </cell>
          <cell r="B24" t="str">
            <v>VAR_ncap</v>
          </cell>
          <cell r="C24" t="str">
            <v>SUP_WODH2CCS</v>
          </cell>
          <cell r="J24">
            <v>0.23128810170924999</v>
          </cell>
        </row>
        <row r="25">
          <cell r="A25" t="str">
            <v>-</v>
          </cell>
          <cell r="B25" t="str">
            <v>VAR_ncap</v>
          </cell>
          <cell r="C25" t="str">
            <v>SUP_WODBIOCCS</v>
          </cell>
          <cell r="I25">
            <v>1.11201832248765E-5</v>
          </cell>
          <cell r="J25">
            <v>1.14362207462797E-7</v>
          </cell>
        </row>
        <row r="26">
          <cell r="A26" t="str">
            <v>-</v>
          </cell>
          <cell r="B26" t="str">
            <v>VAR_ncap</v>
          </cell>
          <cell r="C26" t="str">
            <v>SUP_NGAH2CCS</v>
          </cell>
          <cell r="I26">
            <v>2.8307843277315499E-7</v>
          </cell>
          <cell r="J26">
            <v>8.6627819131995104E-3</v>
          </cell>
        </row>
        <row r="27">
          <cell r="A27" t="str">
            <v>-</v>
          </cell>
          <cell r="B27" t="str">
            <v>VAR_ncap</v>
          </cell>
          <cell r="C27" t="str">
            <v>SUP_ELCH2</v>
          </cell>
          <cell r="E27">
            <v>2.3082175037334601E-4</v>
          </cell>
          <cell r="F27">
            <v>9.9078356365409298E-5</v>
          </cell>
          <cell r="G27">
            <v>7.7958322532535498E-5</v>
          </cell>
          <cell r="H27">
            <v>1.05705713812116E-3</v>
          </cell>
          <cell r="I27">
            <v>0.24843446257832399</v>
          </cell>
          <cell r="J27">
            <v>0.96975598269059105</v>
          </cell>
        </row>
        <row r="28">
          <cell r="A28" t="str">
            <v>-</v>
          </cell>
          <cell r="B28" t="str">
            <v>VAR_ncap</v>
          </cell>
          <cell r="C28" t="str">
            <v>CT_CWODBDS</v>
          </cell>
          <cell r="E28">
            <v>3.4446927114877703E-8</v>
          </cell>
          <cell r="F28">
            <v>3.8798801115155798E-8</v>
          </cell>
          <cell r="G28">
            <v>6.6946999967349299E-8</v>
          </cell>
          <cell r="H28">
            <v>8.2588885878313906E-8</v>
          </cell>
          <cell r="I28">
            <v>2.96247902810765E-6</v>
          </cell>
          <cell r="J28">
            <v>3.4289972966208098E-7</v>
          </cell>
        </row>
        <row r="29">
          <cell r="A29" t="str">
            <v>-</v>
          </cell>
          <cell r="B29" t="str">
            <v>VAR_ncap</v>
          </cell>
          <cell r="C29" t="str">
            <v>CT_CWODETHCCS</v>
          </cell>
          <cell r="I29">
            <v>8.0799001483953599E-6</v>
          </cell>
          <cell r="J29">
            <v>2.9002579615437102E-7</v>
          </cell>
        </row>
        <row r="30">
          <cell r="A30" t="str">
            <v>-</v>
          </cell>
          <cell r="B30" t="str">
            <v>VAR_ncap</v>
          </cell>
          <cell r="C30" t="str">
            <v>CT_CWODPLT</v>
          </cell>
          <cell r="E30">
            <v>0.152853330432285</v>
          </cell>
          <cell r="F30">
            <v>5.4879556311548498E-2</v>
          </cell>
          <cell r="G30">
            <v>5.3861651911851602E-7</v>
          </cell>
          <cell r="H30">
            <v>7.5602114644235702E-7</v>
          </cell>
          <cell r="I30">
            <v>0.15447776045073999</v>
          </cell>
          <cell r="J30">
            <v>7.6717646825808505E-2</v>
          </cell>
        </row>
        <row r="31">
          <cell r="A31" t="str">
            <v>-</v>
          </cell>
          <cell r="B31" t="str">
            <v>VAR_ncap</v>
          </cell>
          <cell r="C31" t="str">
            <v>D-DH2</v>
          </cell>
          <cell r="H31">
            <v>1.9745970528279099E-5</v>
          </cell>
          <cell r="I31">
            <v>0.115399542585015</v>
          </cell>
          <cell r="J31">
            <v>4.5522904124833001E-2</v>
          </cell>
        </row>
        <row r="32">
          <cell r="A32" t="str">
            <v>-</v>
          </cell>
          <cell r="B32" t="str">
            <v>VAR_ncap</v>
          </cell>
          <cell r="C32" t="str">
            <v>CT_CWODETH</v>
          </cell>
          <cell r="E32">
            <v>5.1023709010805099E-3</v>
          </cell>
          <cell r="F32">
            <v>1.8887601515664999E-7</v>
          </cell>
          <cell r="G32">
            <v>7.3885110819439203E-6</v>
          </cell>
          <cell r="H32">
            <v>9.2489367548510197E-8</v>
          </cell>
          <cell r="I32">
            <v>1.5086676501289701E-6</v>
          </cell>
          <cell r="J32">
            <v>6.2355058898994299E-6</v>
          </cell>
        </row>
        <row r="33">
          <cell r="A33" t="str">
            <v>-</v>
          </cell>
          <cell r="B33" t="str">
            <v>VAR_ncap</v>
          </cell>
          <cell r="C33" t="str">
            <v>D-INGA</v>
          </cell>
          <cell r="E33">
            <v>5.6669069079969896E-7</v>
          </cell>
          <cell r="F33">
            <v>2.4662522685147799E-7</v>
          </cell>
          <cell r="G33">
            <v>3.2423052783516802E-7</v>
          </cell>
          <cell r="H33">
            <v>4.8846653862179505E-7</v>
          </cell>
          <cell r="I33">
            <v>1.4204261516483299E-6</v>
          </cell>
          <cell r="J33">
            <v>5.9370773476093999E-6</v>
          </cell>
        </row>
        <row r="34">
          <cell r="A34" t="str">
            <v>-</v>
          </cell>
          <cell r="B34" t="str">
            <v>VAR_ncap</v>
          </cell>
          <cell r="C34" t="str">
            <v>SUP_H2DSL</v>
          </cell>
          <cell r="H34">
            <v>5.6948182636423597E-7</v>
          </cell>
          <cell r="I34">
            <v>0.11529814156729799</v>
          </cell>
          <cell r="J34">
            <v>3.2460640654678198E-7</v>
          </cell>
        </row>
        <row r="35">
          <cell r="A35" t="str">
            <v>-</v>
          </cell>
          <cell r="B35" t="str">
            <v>VAR_ncap</v>
          </cell>
          <cell r="C35" t="str">
            <v>SUP_DAC</v>
          </cell>
          <cell r="I35">
            <v>7.8914355884236005E-4</v>
          </cell>
          <cell r="J35">
            <v>9.9758608394952698E-4</v>
          </cell>
        </row>
        <row r="36">
          <cell r="A36" t="str">
            <v>-</v>
          </cell>
          <cell r="B36" t="str">
            <v>VAR_ncap</v>
          </cell>
          <cell r="C36" t="str">
            <v>CT_CWODBDSCCS</v>
          </cell>
          <cell r="I36">
            <v>1.0326071777902701E-5</v>
          </cell>
          <cell r="J36">
            <v>0.12906657426305601</v>
          </cell>
        </row>
        <row r="37">
          <cell r="A37" t="str">
            <v>-</v>
          </cell>
          <cell r="B37" t="str">
            <v>VAR_cap</v>
          </cell>
          <cell r="C37" t="str">
            <v>SUP_NGAH2</v>
          </cell>
          <cell r="H37">
            <v>1.98122934743707E-7</v>
          </cell>
          <cell r="I37">
            <v>6.6043793892263703E-7</v>
          </cell>
          <cell r="J37">
            <v>5.6770405170727454E-5</v>
          </cell>
        </row>
        <row r="38">
          <cell r="A38" t="str">
            <v>-</v>
          </cell>
          <cell r="B38" t="str">
            <v>VAR_cap</v>
          </cell>
          <cell r="C38" t="str">
            <v>SUP_WSTHTGBIO</v>
          </cell>
          <cell r="I38">
            <v>1.03252742916419E-5</v>
          </cell>
          <cell r="J38">
            <v>1.0391614901164135E-5</v>
          </cell>
        </row>
        <row r="39">
          <cell r="A39" t="str">
            <v>-</v>
          </cell>
          <cell r="B39" t="str">
            <v>VAR_cap</v>
          </cell>
          <cell r="C39" t="str">
            <v>STG-H2</v>
          </cell>
          <cell r="H39">
            <v>1.8455189142186399E-6</v>
          </cell>
          <cell r="I39">
            <v>2.7810101279241588E-5</v>
          </cell>
          <cell r="J39">
            <v>1.9712576896134346</v>
          </cell>
        </row>
        <row r="40">
          <cell r="A40" t="str">
            <v>-</v>
          </cell>
          <cell r="B40" t="str">
            <v>VAR_cap</v>
          </cell>
          <cell r="C40" t="str">
            <v>SUP_H2NGA</v>
          </cell>
          <cell r="H40">
            <v>3.20044689771081E-7</v>
          </cell>
          <cell r="I40">
            <v>6.76746433995234E-5</v>
          </cell>
          <cell r="J40">
            <v>6.7235544050281093E-5</v>
          </cell>
        </row>
        <row r="41">
          <cell r="A41" t="str">
            <v>-</v>
          </cell>
          <cell r="B41" t="str">
            <v>VAR_cap</v>
          </cell>
          <cell r="C41" t="str">
            <v>D-ENGA</v>
          </cell>
          <cell r="E41">
            <v>1.0275127096398342</v>
          </cell>
          <cell r="F41">
            <v>1.0275128734973398</v>
          </cell>
          <cell r="G41">
            <v>1.0275130626747233</v>
          </cell>
          <cell r="H41">
            <v>1.0275133167696946</v>
          </cell>
          <cell r="I41">
            <v>1.0275147644857718</v>
          </cell>
          <cell r="J41">
            <v>0.72468069282256731</v>
          </cell>
        </row>
        <row r="42">
          <cell r="A42" t="str">
            <v>-</v>
          </cell>
          <cell r="B42" t="str">
            <v>VAR_cap</v>
          </cell>
          <cell r="C42" t="str">
            <v>D-CHEAT</v>
          </cell>
          <cell r="I42">
            <v>6.1032165423238402E-4</v>
          </cell>
          <cell r="J42">
            <v>6.1144923768464401E-4</v>
          </cell>
        </row>
        <row r="43">
          <cell r="A43" t="str">
            <v>-</v>
          </cell>
          <cell r="B43" t="str">
            <v>VAR_cap</v>
          </cell>
          <cell r="C43" t="str">
            <v>SUP_WSTBIO</v>
          </cell>
          <cell r="E43">
            <v>0.21266746144615847</v>
          </cell>
          <cell r="F43">
            <v>0.23566649160567693</v>
          </cell>
          <cell r="G43">
            <v>0.23566529350388274</v>
          </cell>
          <cell r="H43">
            <v>0.26146558870326625</v>
          </cell>
          <cell r="I43">
            <v>0.25492685113398772</v>
          </cell>
          <cell r="J43">
            <v>0.23729929793299859</v>
          </cell>
        </row>
        <row r="44">
          <cell r="A44" t="str">
            <v>-</v>
          </cell>
          <cell r="B44" t="str">
            <v>VAR_cap</v>
          </cell>
          <cell r="C44" t="str">
            <v>D-CNGA</v>
          </cell>
          <cell r="E44">
            <v>1.7321905860241601E-7</v>
          </cell>
          <cell r="F44">
            <v>3.5648472734198301E-7</v>
          </cell>
          <cell r="G44">
            <v>5.7607775179463004E-7</v>
          </cell>
          <cell r="H44">
            <v>8.4479672442715895E-7</v>
          </cell>
          <cell r="I44">
            <v>2.2205504438803102E-6</v>
          </cell>
          <cell r="J44">
            <v>1.2679547998876901E-2</v>
          </cell>
        </row>
        <row r="45">
          <cell r="A45" t="str">
            <v>-</v>
          </cell>
          <cell r="B45" t="str">
            <v>VAR_cap</v>
          </cell>
          <cell r="C45" t="str">
            <v>SUP_BIONGA</v>
          </cell>
          <cell r="E45">
            <v>4.2363830600574373E-2</v>
          </cell>
          <cell r="F45">
            <v>0.11906400589818657</v>
          </cell>
          <cell r="G45">
            <v>9.47196515148927E-2</v>
          </cell>
          <cell r="H45">
            <v>9.4706553516012898E-2</v>
          </cell>
          <cell r="I45">
            <v>9.2015008697393971E-2</v>
          </cell>
          <cell r="J45">
            <v>0.1038767084304415</v>
          </cell>
        </row>
        <row r="46">
          <cell r="A46" t="str">
            <v>-</v>
          </cell>
          <cell r="B46" t="str">
            <v>VAR_cap</v>
          </cell>
          <cell r="C46" t="str">
            <v>SUP_WODH2</v>
          </cell>
          <cell r="J46">
            <v>1.4206033518802601E-5</v>
          </cell>
        </row>
        <row r="47">
          <cell r="A47" t="str">
            <v>-</v>
          </cell>
          <cell r="B47" t="str">
            <v>VAR_cap</v>
          </cell>
          <cell r="C47" t="str">
            <v>D-TNGA</v>
          </cell>
          <cell r="E47">
            <v>0.95961788196225073</v>
          </cell>
          <cell r="F47">
            <v>0.95961793167793841</v>
          </cell>
          <cell r="G47">
            <v>0.95961798583314295</v>
          </cell>
          <cell r="H47">
            <v>0.95961804610816803</v>
          </cell>
          <cell r="I47">
            <v>0.95961824145710228</v>
          </cell>
          <cell r="J47">
            <v>0.48125411860093259</v>
          </cell>
        </row>
        <row r="48">
          <cell r="A48" t="str">
            <v>-</v>
          </cell>
          <cell r="B48" t="str">
            <v>VAR_cap</v>
          </cell>
          <cell r="C48" t="str">
            <v>SUP_ELCH2_D</v>
          </cell>
          <cell r="H48">
            <v>3.3990994708365702E-6</v>
          </cell>
          <cell r="I48">
            <v>0.116601184032031</v>
          </cell>
          <cell r="J48">
            <v>0.16258706308013501</v>
          </cell>
        </row>
        <row r="49">
          <cell r="A49" t="str">
            <v>-</v>
          </cell>
          <cell r="B49" t="str">
            <v>VAR_cap</v>
          </cell>
          <cell r="C49" t="str">
            <v>SUP_H2GSL</v>
          </cell>
          <cell r="H49">
            <v>8.9729149856117504E-7</v>
          </cell>
          <cell r="I49">
            <v>1.1273255688795794E-2</v>
          </cell>
          <cell r="J49">
            <v>1.1270005640491241E-2</v>
          </cell>
        </row>
        <row r="50">
          <cell r="A50" t="str">
            <v>-</v>
          </cell>
          <cell r="B50" t="str">
            <v>VAR_cap</v>
          </cell>
          <cell r="C50" t="str">
            <v>ESOL-PV_E</v>
          </cell>
          <cell r="H50">
            <v>6.8198494226152005E-7</v>
          </cell>
          <cell r="I50">
            <v>0.32295937502180899</v>
          </cell>
          <cell r="J50">
            <v>0.42561960518570802</v>
          </cell>
        </row>
        <row r="51">
          <cell r="A51" t="str">
            <v>-</v>
          </cell>
          <cell r="B51" t="str">
            <v>VAR_cap</v>
          </cell>
          <cell r="C51" t="str">
            <v>D-SNGA</v>
          </cell>
          <cell r="E51">
            <v>2.2350525271256672</v>
          </cell>
          <cell r="F51">
            <v>2.2350525994768136</v>
          </cell>
          <cell r="G51">
            <v>2.2350527084491625</v>
          </cell>
          <cell r="H51">
            <v>2.2350528369443294</v>
          </cell>
          <cell r="I51">
            <v>2.2350532940141385</v>
          </cell>
          <cell r="J51">
            <v>1.1208920329192984</v>
          </cell>
        </row>
        <row r="52">
          <cell r="A52" t="str">
            <v>-</v>
          </cell>
          <cell r="B52" t="str">
            <v>VAR_cap</v>
          </cell>
          <cell r="C52" t="str">
            <v>SUP_MNRBIO</v>
          </cell>
          <cell r="E52">
            <v>4.9504257458365002E-2</v>
          </cell>
          <cell r="F52">
            <v>0.1317291468371117</v>
          </cell>
          <cell r="G52">
            <v>0.16239483635777197</v>
          </cell>
          <cell r="H52">
            <v>0.16239935543343964</v>
          </cell>
          <cell r="I52">
            <v>0.18947301682258577</v>
          </cell>
          <cell r="J52">
            <v>0.34728210565770035</v>
          </cell>
        </row>
        <row r="53">
          <cell r="A53" t="str">
            <v>-</v>
          </cell>
          <cell r="B53" t="str">
            <v>VAR_cap</v>
          </cell>
          <cell r="C53" t="str">
            <v>D-RNGA</v>
          </cell>
          <cell r="E53">
            <v>3.097240126726247</v>
          </cell>
          <cell r="F53">
            <v>3.0972401668061957</v>
          </cell>
          <cell r="G53">
            <v>3.0972402239292962</v>
          </cell>
          <cell r="H53">
            <v>3.0972402695562673</v>
          </cell>
          <cell r="I53">
            <v>3.0972404289666686</v>
          </cell>
          <cell r="J53">
            <v>1.5532828222948276</v>
          </cell>
        </row>
        <row r="54">
          <cell r="A54" t="str">
            <v>-</v>
          </cell>
          <cell r="B54" t="str">
            <v>VAR_cap</v>
          </cell>
          <cell r="C54" t="str">
            <v>SUP_WSTHTGBIOCCS</v>
          </cell>
          <cell r="I54">
            <v>3.8541942371517701E-6</v>
          </cell>
          <cell r="J54">
            <v>3.9393728225856553E-6</v>
          </cell>
        </row>
        <row r="55">
          <cell r="A55" t="str">
            <v>-</v>
          </cell>
          <cell r="B55" t="str">
            <v>VAR_cap</v>
          </cell>
          <cell r="C55" t="str">
            <v>SUP_WODBIO</v>
          </cell>
          <cell r="E55">
            <v>3.6102657523169799E-7</v>
          </cell>
          <cell r="F55">
            <v>1.4618062188397367E-5</v>
          </cell>
          <cell r="G55">
            <v>1.5409243785232572E-5</v>
          </cell>
          <cell r="H55">
            <v>1.5784018314784022E-5</v>
          </cell>
          <cell r="I55">
            <v>1.8341033076190386E-5</v>
          </cell>
          <cell r="J55">
            <v>1.1676855158490913E-5</v>
          </cell>
        </row>
        <row r="56">
          <cell r="A56" t="str">
            <v>-</v>
          </cell>
          <cell r="B56" t="str">
            <v>VAR_cap</v>
          </cell>
          <cell r="C56" t="str">
            <v>SUP_ELCH2_SOEC</v>
          </cell>
          <cell r="I56">
            <v>1.8060018768991401E-4</v>
          </cell>
          <cell r="J56">
            <v>1.5701798780281656E-4</v>
          </cell>
        </row>
        <row r="57">
          <cell r="A57" t="str">
            <v>-</v>
          </cell>
          <cell r="B57" t="str">
            <v>VAR_cap</v>
          </cell>
          <cell r="C57" t="str">
            <v>SUP_WODH2CCS</v>
          </cell>
          <cell r="J57">
            <v>0.23128810170924999</v>
          </cell>
        </row>
        <row r="58">
          <cell r="A58" t="str">
            <v>-</v>
          </cell>
          <cell r="B58" t="str">
            <v>VAR_cap</v>
          </cell>
          <cell r="C58" t="str">
            <v>SUP_WODBIOCCS</v>
          </cell>
          <cell r="I58">
            <v>1.11201832248765E-5</v>
          </cell>
          <cell r="J58">
            <v>1.12345454323393E-5</v>
          </cell>
        </row>
        <row r="59">
          <cell r="A59" t="str">
            <v>-</v>
          </cell>
          <cell r="B59" t="str">
            <v>VAR_cap</v>
          </cell>
          <cell r="C59" t="str">
            <v>SUP_NGAH2CCS</v>
          </cell>
          <cell r="I59">
            <v>2.8307843277315499E-7</v>
          </cell>
          <cell r="J59">
            <v>8.6630076647191672E-3</v>
          </cell>
        </row>
        <row r="60">
          <cell r="A60" t="str">
            <v>-</v>
          </cell>
          <cell r="B60" t="str">
            <v>VAR_cap</v>
          </cell>
          <cell r="C60" t="str">
            <v>SUP_ELCH2</v>
          </cell>
          <cell r="E60">
            <v>2.3082175037334601E-4</v>
          </cell>
          <cell r="F60">
            <v>3.297824427900842E-4</v>
          </cell>
          <cell r="G60">
            <v>4.07557696052634E-4</v>
          </cell>
          <cell r="H60">
            <v>1.4643275960706716E-3</v>
          </cell>
          <cell r="I60">
            <v>0.42906259551321674</v>
          </cell>
          <cell r="J60">
            <v>1.361391707381671</v>
          </cell>
        </row>
        <row r="61">
          <cell r="A61" t="str">
            <v>-</v>
          </cell>
          <cell r="B61" t="str">
            <v>VAR_cap</v>
          </cell>
          <cell r="C61" t="str">
            <v>CT_CWODBDS</v>
          </cell>
          <cell r="E61">
            <v>4.5800358996004917E-2</v>
          </cell>
          <cell r="F61">
            <v>4.5798795432729633E-2</v>
          </cell>
          <cell r="G61">
            <v>4.5798470278700293E-2</v>
          </cell>
          <cell r="H61">
            <v>2.1895221008871868E-5</v>
          </cell>
          <cell r="I61">
            <v>1.3484439350997334E-5</v>
          </cell>
          <cell r="J61">
            <v>1.1659785067274223E-5</v>
          </cell>
        </row>
        <row r="62">
          <cell r="A62" t="str">
            <v>-</v>
          </cell>
          <cell r="B62" t="str">
            <v>VAR_cap</v>
          </cell>
          <cell r="C62" t="str">
            <v>CT_CWODETHCCS</v>
          </cell>
          <cell r="I62">
            <v>8.0799001483953599E-6</v>
          </cell>
          <cell r="J62">
            <v>8.3699259445497305E-6</v>
          </cell>
        </row>
        <row r="63">
          <cell r="A63" t="str">
            <v>-</v>
          </cell>
          <cell r="B63" t="str">
            <v>VAR_cap</v>
          </cell>
          <cell r="C63" t="str">
            <v>CT_CWODPLT</v>
          </cell>
          <cell r="E63">
            <v>0.35515232468902103</v>
          </cell>
          <cell r="F63">
            <v>0.41003182564816459</v>
          </cell>
          <cell r="G63">
            <v>0.28183342233825698</v>
          </cell>
          <cell r="H63">
            <v>0.28183052733009095</v>
          </cell>
          <cell r="I63">
            <v>0.30789309184355956</v>
          </cell>
          <cell r="J63">
            <v>0.28814992452504767</v>
          </cell>
        </row>
        <row r="64">
          <cell r="A64" t="str">
            <v>-</v>
          </cell>
          <cell r="B64" t="str">
            <v>VAR_cap</v>
          </cell>
          <cell r="C64" t="str">
            <v>D-DH2</v>
          </cell>
          <cell r="H64">
            <v>1.9745970528279099E-5</v>
          </cell>
          <cell r="I64">
            <v>0.115445162840716</v>
          </cell>
          <cell r="J64">
            <v>0.16096806696554899</v>
          </cell>
        </row>
        <row r="65">
          <cell r="A65" t="str">
            <v>-</v>
          </cell>
          <cell r="B65" t="str">
            <v>VAR_cap</v>
          </cell>
          <cell r="C65" t="str">
            <v>CT_CWODETH</v>
          </cell>
          <cell r="E65">
            <v>7.1396876010272189E-3</v>
          </cell>
          <cell r="F65">
            <v>7.1398032526283793E-3</v>
          </cell>
          <cell r="G65">
            <v>7.147143931560177E-3</v>
          </cell>
          <cell r="H65">
            <v>1.6738397306870212E-5</v>
          </cell>
          <cell r="I65">
            <v>1.1938415784149914E-5</v>
          </cell>
          <cell r="J65">
            <v>7.9666913378451895E-6</v>
          </cell>
        </row>
        <row r="66">
          <cell r="A66" t="str">
            <v>-</v>
          </cell>
          <cell r="B66" t="str">
            <v>VAR_cap</v>
          </cell>
          <cell r="C66" t="str">
            <v>D-INGA</v>
          </cell>
          <cell r="E66">
            <v>1.9844839369567908</v>
          </cell>
          <cell r="F66">
            <v>1.9844841835820177</v>
          </cell>
          <cell r="G66">
            <v>1.9844845078125455</v>
          </cell>
          <cell r="H66">
            <v>1.984484996279084</v>
          </cell>
          <cell r="I66">
            <v>1.9844873142418848</v>
          </cell>
          <cell r="J66">
            <v>1.0954693184990525</v>
          </cell>
        </row>
        <row r="67">
          <cell r="A67" t="str">
            <v>-</v>
          </cell>
          <cell r="B67" t="str">
            <v>VAR_cap</v>
          </cell>
          <cell r="C67" t="str">
            <v>SUP_H2DSL</v>
          </cell>
          <cell r="H67">
            <v>5.6948182636423597E-7</v>
          </cell>
          <cell r="I67">
            <v>0.11530178056886516</v>
          </cell>
          <cell r="J67">
            <v>7.2466788376539942E-3</v>
          </cell>
        </row>
        <row r="68">
          <cell r="A68" t="str">
            <v>-</v>
          </cell>
          <cell r="B68" t="str">
            <v>VAR_cap</v>
          </cell>
          <cell r="C68" t="str">
            <v>SUP_DAC</v>
          </cell>
          <cell r="I68">
            <v>7.8914355884236005E-4</v>
          </cell>
          <cell r="J68">
            <v>1.5658182958797132E-3</v>
          </cell>
        </row>
        <row r="69">
          <cell r="A69" t="str">
            <v>-</v>
          </cell>
          <cell r="B69" t="str">
            <v>VAR_cap</v>
          </cell>
          <cell r="C69" t="str">
            <v>CT_CWODBDSCCS</v>
          </cell>
          <cell r="I69">
            <v>1.0326071777902701E-5</v>
          </cell>
          <cell r="J69">
            <v>0.12907690033483399</v>
          </cell>
        </row>
        <row r="70">
          <cell r="A70" t="str">
            <v>CO2_M</v>
          </cell>
          <cell r="B70" t="str">
            <v>VAR_fin</v>
          </cell>
          <cell r="C70" t="str">
            <v>SUP_H2NGA</v>
          </cell>
          <cell r="I70">
            <v>1.4029959643319207E-2</v>
          </cell>
          <cell r="J70">
            <v>8.2494659925391647E-3</v>
          </cell>
        </row>
        <row r="71">
          <cell r="A71" t="str">
            <v>CO2_M</v>
          </cell>
          <cell r="B71" t="str">
            <v>VAR_fin</v>
          </cell>
          <cell r="C71" t="str">
            <v>SUP_H2GSL</v>
          </cell>
          <cell r="I71">
            <v>5.7228999375397294</v>
          </cell>
          <cell r="J71">
            <v>11.946878798407621</v>
          </cell>
        </row>
        <row r="72">
          <cell r="A72" t="str">
            <v>CO2_M</v>
          </cell>
          <cell r="B72" t="str">
            <v>VAR_fin</v>
          </cell>
          <cell r="C72" t="str">
            <v>SUP_H2DSL</v>
          </cell>
          <cell r="I72">
            <v>63.47067608895302</v>
          </cell>
          <cell r="J72">
            <v>2.3965318905927102</v>
          </cell>
        </row>
        <row r="73">
          <cell r="A73" t="str">
            <v>ELC35</v>
          </cell>
          <cell r="B73" t="str">
            <v>VAR_fout</v>
          </cell>
          <cell r="C73" t="str">
            <v>SUP_WSTBIO</v>
          </cell>
          <cell r="E73">
            <v>0.11258832078574392</v>
          </cell>
          <cell r="F73">
            <v>0.12476460475664931</v>
          </cell>
          <cell r="G73">
            <v>0.12058118786590917</v>
          </cell>
          <cell r="H73">
            <v>0.13842295892554304</v>
          </cell>
          <cell r="I73">
            <v>0.13496139119558995</v>
          </cell>
          <cell r="J73">
            <v>0.1256291374027303</v>
          </cell>
        </row>
        <row r="74">
          <cell r="A74" t="str">
            <v>ELC35</v>
          </cell>
          <cell r="B74" t="str">
            <v>VAR_fout</v>
          </cell>
          <cell r="C74" t="str">
            <v>SUP_WODBIO</v>
          </cell>
          <cell r="G74">
            <v>1.3759211635750496E-6</v>
          </cell>
          <cell r="H74">
            <v>8.4387913570233318E-6</v>
          </cell>
          <cell r="I74">
            <v>8.0383927060198176E-6</v>
          </cell>
          <cell r="J74">
            <v>5.0033672780399193E-6</v>
          </cell>
        </row>
        <row r="75">
          <cell r="A75" t="str">
            <v>ELC35</v>
          </cell>
          <cell r="B75" t="str">
            <v>VAR_fout</v>
          </cell>
          <cell r="C75" t="str">
            <v>SUP_WODBIOCCS</v>
          </cell>
          <cell r="I75">
            <v>8.0206764482572137E-6</v>
          </cell>
          <cell r="J75">
            <v>9.5380945635705318E-6</v>
          </cell>
        </row>
        <row r="76">
          <cell r="A76" t="str">
            <v>ELC35</v>
          </cell>
          <cell r="B76" t="str">
            <v>VAR_fin</v>
          </cell>
          <cell r="C76" t="str">
            <v>D-CELC</v>
          </cell>
          <cell r="E76">
            <v>0.36610789671466032</v>
          </cell>
          <cell r="F76">
            <v>5.1623584955470959E-2</v>
          </cell>
          <cell r="G76">
            <v>0.38631425597173313</v>
          </cell>
          <cell r="H76">
            <v>4.3068210585302649E-2</v>
          </cell>
          <cell r="I76">
            <v>5.1335140307423872</v>
          </cell>
          <cell r="J76">
            <v>13.319985554354359</v>
          </cell>
        </row>
        <row r="77">
          <cell r="A77" t="str">
            <v>CO2_O</v>
          </cell>
          <cell r="B77" t="str">
            <v>VAR_fout</v>
          </cell>
          <cell r="C77" t="str">
            <v>SUP_WSTHTGBIOCCS</v>
          </cell>
          <cell r="I77">
            <v>2.3627266439541304E-3</v>
          </cell>
          <cell r="J77">
            <v>3.1680892433392318E-3</v>
          </cell>
        </row>
        <row r="78">
          <cell r="A78" t="str">
            <v>CO2_O</v>
          </cell>
          <cell r="B78" t="str">
            <v>VAR_fout</v>
          </cell>
          <cell r="C78" t="str">
            <v>SUP_WODH2CCS</v>
          </cell>
          <cell r="J78">
            <v>971.30462515719273</v>
          </cell>
        </row>
        <row r="79">
          <cell r="A79" t="str">
            <v>CO2_O</v>
          </cell>
          <cell r="B79" t="str">
            <v>VAR_fout</v>
          </cell>
          <cell r="C79" t="str">
            <v>SUP_WODBIOCCS</v>
          </cell>
          <cell r="I79">
            <v>1.2051576905902455E-2</v>
          </cell>
          <cell r="J79">
            <v>1.4288686561813001E-2</v>
          </cell>
        </row>
        <row r="80">
          <cell r="A80" t="str">
            <v>CO2_O</v>
          </cell>
          <cell r="B80" t="str">
            <v>VAR_fout</v>
          </cell>
          <cell r="C80" t="str">
            <v>SUP_NGAH2CCS</v>
          </cell>
          <cell r="J80">
            <v>14.474730597771334</v>
          </cell>
        </row>
        <row r="81">
          <cell r="A81" t="str">
            <v>CO2_O</v>
          </cell>
          <cell r="B81" t="str">
            <v>VAR_fout</v>
          </cell>
          <cell r="C81" t="str">
            <v>CT_CWODETHCCS</v>
          </cell>
          <cell r="I81">
            <v>1.2548817296998082E-3</v>
          </cell>
          <cell r="J81">
            <v>1.688757225183561E-3</v>
          </cell>
        </row>
        <row r="82">
          <cell r="A82" t="str">
            <v>CO2_O</v>
          </cell>
          <cell r="B82" t="str">
            <v>VAR_fout</v>
          </cell>
          <cell r="C82" t="str">
            <v>SUP_DAC</v>
          </cell>
          <cell r="I82">
            <v>2.8106686053595521E-3</v>
          </cell>
          <cell r="J82">
            <v>9.9542328361672539E-3</v>
          </cell>
        </row>
        <row r="83">
          <cell r="A83" t="str">
            <v>CO2_O</v>
          </cell>
          <cell r="B83" t="str">
            <v>VAR_fout</v>
          </cell>
          <cell r="C83" t="str">
            <v>CT_CWODBDSCCS</v>
          </cell>
          <cell r="I83">
            <v>9.9329309749504636E-3</v>
          </cell>
          <cell r="J83">
            <v>444.86983649063041</v>
          </cell>
        </row>
        <row r="84">
          <cell r="A84" t="str">
            <v>SCH2S</v>
          </cell>
          <cell r="B84" t="str">
            <v>VAR_fin</v>
          </cell>
          <cell r="C84" t="str">
            <v>SUP_NGAH2</v>
          </cell>
          <cell r="J84">
            <v>8.445066141589537E-4</v>
          </cell>
        </row>
        <row r="85">
          <cell r="A85" t="str">
            <v>SCH2S</v>
          </cell>
          <cell r="B85" t="str">
            <v>VAR_fin</v>
          </cell>
          <cell r="C85" t="str">
            <v>SUP_NGAH2CCS</v>
          </cell>
          <cell r="J85">
            <v>0.19897131469563775</v>
          </cell>
        </row>
        <row r="86">
          <cell r="A86" t="str">
            <v>CWST</v>
          </cell>
          <cell r="B86" t="str">
            <v>VAR_fout</v>
          </cell>
          <cell r="C86" t="str">
            <v>D-CWST</v>
          </cell>
          <cell r="E86">
            <v>9.6793787784086582</v>
          </cell>
          <cell r="F86">
            <v>10.726191306078787</v>
          </cell>
          <cell r="G86">
            <v>10.366536979672023</v>
          </cell>
          <cell r="H86">
            <v>11.900419525913108</v>
          </cell>
          <cell r="I86">
            <v>11.603185040926284</v>
          </cell>
          <cell r="J86">
            <v>10.800943515684983</v>
          </cell>
        </row>
        <row r="87">
          <cell r="A87" t="str">
            <v>CWST</v>
          </cell>
          <cell r="B87" t="str">
            <v>VAR_fin</v>
          </cell>
          <cell r="C87" t="str">
            <v>SUP_WSTHTGBIO</v>
          </cell>
          <cell r="I87">
            <v>2.9839520236262456E-4</v>
          </cell>
          <cell r="J87">
            <v>3.3087109398872614E-4</v>
          </cell>
        </row>
        <row r="88">
          <cell r="A88" t="str">
            <v>CWST</v>
          </cell>
          <cell r="B88" t="str">
            <v>VAR_fin</v>
          </cell>
          <cell r="C88" t="str">
            <v>SUP_WSTBIO</v>
          </cell>
          <cell r="E88">
            <v>9.6793787784086582</v>
          </cell>
          <cell r="F88">
            <v>10.726191306078787</v>
          </cell>
          <cell r="G88">
            <v>10.366536979672023</v>
          </cell>
          <cell r="H88">
            <v>11.900419525913108</v>
          </cell>
          <cell r="I88">
            <v>11.602823603072284</v>
          </cell>
          <cell r="J88">
            <v>10.800516412709012</v>
          </cell>
        </row>
        <row r="89">
          <cell r="A89" t="str">
            <v>CWST</v>
          </cell>
          <cell r="B89" t="str">
            <v>VAR_fin</v>
          </cell>
          <cell r="C89" t="str">
            <v>SUP_WSTHTGBIOCCS</v>
          </cell>
          <cell r="I89">
            <v>8.7794539385929306E-5</v>
          </cell>
          <cell r="J89">
            <v>1.1772031968412721E-4</v>
          </cell>
        </row>
        <row r="90">
          <cell r="A90" t="str">
            <v>NGA</v>
          </cell>
          <cell r="B90" t="str">
            <v>VAR_fout</v>
          </cell>
          <cell r="C90" t="str">
            <v>SUP_H2NGA</v>
          </cell>
          <cell r="I90">
            <v>2.487581497042411E-4</v>
          </cell>
          <cell r="J90">
            <v>1.4626712752729019E-4</v>
          </cell>
        </row>
        <row r="91">
          <cell r="A91" t="str">
            <v>NGA</v>
          </cell>
          <cell r="B91" t="str">
            <v>VAR_fout</v>
          </cell>
          <cell r="C91" t="str">
            <v>D-LNGA</v>
          </cell>
          <cell r="H91">
            <v>1.6300095020985389E-4</v>
          </cell>
          <cell r="I91">
            <v>2.4340802941740398E-4</v>
          </cell>
          <cell r="J91">
            <v>2.6551550450002934E-4</v>
          </cell>
        </row>
        <row r="92">
          <cell r="A92" t="str">
            <v>NGA</v>
          </cell>
          <cell r="B92" t="str">
            <v>VAR_fin</v>
          </cell>
          <cell r="C92" t="str">
            <v>D-ENGA</v>
          </cell>
          <cell r="E92">
            <v>5.517948673287691</v>
          </cell>
          <cell r="F92">
            <v>2.8202675166132845</v>
          </cell>
          <cell r="G92">
            <v>0.54475844115783612</v>
          </cell>
        </row>
        <row r="93">
          <cell r="A93" t="str">
            <v>NGA</v>
          </cell>
          <cell r="B93" t="str">
            <v>VAR_fin</v>
          </cell>
          <cell r="C93" t="str">
            <v>D-TNGA</v>
          </cell>
          <cell r="E93">
            <v>0.2861613864651037</v>
          </cell>
          <cell r="F93">
            <v>0.15104565714152493</v>
          </cell>
          <cell r="G93">
            <v>0.24013910824472745</v>
          </cell>
          <cell r="H93">
            <v>4.9540038574371449E-3</v>
          </cell>
          <cell r="I93">
            <v>3.6380700587608922E-3</v>
          </cell>
          <cell r="J93">
            <v>2.9607774198585823E-4</v>
          </cell>
        </row>
        <row r="94">
          <cell r="A94" t="str">
            <v>NGA</v>
          </cell>
          <cell r="B94" t="str">
            <v>VAR_fin</v>
          </cell>
          <cell r="C94" t="str">
            <v>D-SNGA</v>
          </cell>
          <cell r="E94">
            <v>26.986054713881927</v>
          </cell>
          <cell r="F94">
            <v>26.932416861995737</v>
          </cell>
          <cell r="G94">
            <v>24.043879688681784</v>
          </cell>
          <cell r="H94">
            <v>17.030561105099576</v>
          </cell>
          <cell r="I94">
            <v>6.5296631614608875</v>
          </cell>
          <cell r="J94">
            <v>3.3602795294582912</v>
          </cell>
        </row>
        <row r="95">
          <cell r="A95" t="str">
            <v>NGA</v>
          </cell>
          <cell r="B95" t="str">
            <v>VAR_fin</v>
          </cell>
          <cell r="C95" t="str">
            <v>D-RNGA</v>
          </cell>
          <cell r="E95">
            <v>47.002029547273821</v>
          </cell>
          <cell r="F95">
            <v>46.456995820563542</v>
          </cell>
          <cell r="G95">
            <v>46.905757652346885</v>
          </cell>
          <cell r="H95">
            <v>34.494728339170095</v>
          </cell>
          <cell r="I95">
            <v>13.971629403906633</v>
          </cell>
          <cell r="J95">
            <v>7.9922489675417943</v>
          </cell>
        </row>
        <row r="96">
          <cell r="A96" t="str">
            <v>NGA</v>
          </cell>
          <cell r="B96" t="str">
            <v>VAR_fin</v>
          </cell>
          <cell r="C96" t="str">
            <v>D-INGA</v>
          </cell>
          <cell r="E96">
            <v>37.260033740284868</v>
          </cell>
          <cell r="F96">
            <v>30.359371808283917</v>
          </cell>
          <cell r="G96">
            <v>32.250429997683931</v>
          </cell>
          <cell r="H96">
            <v>22.700770371204143</v>
          </cell>
          <cell r="I96">
            <v>13.674510387490571</v>
          </cell>
          <cell r="J96">
            <v>2.0464536832424018</v>
          </cell>
        </row>
        <row r="97">
          <cell r="A97" t="str">
            <v>CO2</v>
          </cell>
          <cell r="B97" t="str">
            <v>VAR_fout</v>
          </cell>
          <cell r="C97" t="str">
            <v>D-ENGA</v>
          </cell>
          <cell r="E97">
            <v>311.21230517342502</v>
          </cell>
          <cell r="F97">
            <v>159.06308793698901</v>
          </cell>
          <cell r="G97">
            <v>30.724376081301902</v>
          </cell>
        </row>
        <row r="98">
          <cell r="A98" t="str">
            <v>CO2</v>
          </cell>
          <cell r="B98" t="str">
            <v>VAR_fout</v>
          </cell>
          <cell r="C98" t="str">
            <v>D-ILFO</v>
          </cell>
          <cell r="E98">
            <v>688.91591836512703</v>
          </cell>
          <cell r="F98">
            <v>659.57627639537895</v>
          </cell>
          <cell r="G98">
            <v>602.63658619310797</v>
          </cell>
          <cell r="H98">
            <v>506.18838422037601</v>
          </cell>
          <cell r="I98">
            <v>206.098750422325</v>
          </cell>
          <cell r="J98">
            <v>4.3657711158121601E-4</v>
          </cell>
        </row>
        <row r="99">
          <cell r="A99" t="str">
            <v>CO2</v>
          </cell>
          <cell r="B99" t="str">
            <v>VAR_fout</v>
          </cell>
          <cell r="C99" t="str">
            <v>D-TNGA</v>
          </cell>
          <cell r="E99">
            <v>16.139502196631799</v>
          </cell>
          <cell r="F99">
            <v>8.5189750627819993</v>
          </cell>
          <cell r="G99">
            <v>13.5438457050026</v>
          </cell>
          <cell r="H99">
            <v>0.27940581755945498</v>
          </cell>
          <cell r="I99">
            <v>0.205187151314114</v>
          </cell>
          <cell r="J99">
            <v>1.66987846480024E-2</v>
          </cell>
        </row>
        <row r="100">
          <cell r="A100" t="str">
            <v>CO2</v>
          </cell>
          <cell r="B100" t="str">
            <v>VAR_fout</v>
          </cell>
          <cell r="C100" t="str">
            <v>D-SNGA</v>
          </cell>
          <cell r="E100">
            <v>1522.0134858629399</v>
          </cell>
          <cell r="F100">
            <v>1518.9883110165599</v>
          </cell>
          <cell r="G100">
            <v>1356.07481444165</v>
          </cell>
          <cell r="H100">
            <v>960.52364632761601</v>
          </cell>
          <cell r="I100">
            <v>368.27300230639401</v>
          </cell>
          <cell r="J100">
            <v>189.519765461448</v>
          </cell>
        </row>
        <row r="101">
          <cell r="A101" t="str">
            <v>CO2</v>
          </cell>
          <cell r="B101" t="str">
            <v>VAR_fout</v>
          </cell>
          <cell r="C101" t="str">
            <v>D-RNGA</v>
          </cell>
          <cell r="E101">
            <v>2650.9144664662499</v>
          </cell>
          <cell r="F101">
            <v>2620.17456427978</v>
          </cell>
          <cell r="G101">
            <v>2645.4847315923598</v>
          </cell>
          <cell r="H101">
            <v>1945.5026783291901</v>
          </cell>
          <cell r="I101">
            <v>787.99989838033503</v>
          </cell>
          <cell r="J101">
            <v>450.76284176935701</v>
          </cell>
        </row>
        <row r="102">
          <cell r="A102" t="str">
            <v>CO2</v>
          </cell>
          <cell r="B102" t="str">
            <v>VAR_fout</v>
          </cell>
          <cell r="C102" t="str">
            <v>SUP_WSTHTGBIOCCS</v>
          </cell>
          <cell r="I102">
            <v>-2.3627266439541299E-3</v>
          </cell>
          <cell r="J102">
            <v>-3.1680892433392301E-3</v>
          </cell>
        </row>
        <row r="103">
          <cell r="A103" t="str">
            <v>CO2</v>
          </cell>
          <cell r="B103" t="str">
            <v>VAR_fout</v>
          </cell>
          <cell r="C103" t="str">
            <v>D-SLFO</v>
          </cell>
          <cell r="E103">
            <v>2267.7888139432998</v>
          </cell>
          <cell r="F103">
            <v>2007.503114822</v>
          </cell>
          <cell r="G103">
            <v>1834.5721314683201</v>
          </cell>
          <cell r="H103">
            <v>955.88575200966795</v>
          </cell>
          <cell r="I103">
            <v>252.85870209132</v>
          </cell>
          <cell r="J103">
            <v>4.4756523642558601E-4</v>
          </cell>
        </row>
        <row r="104">
          <cell r="A104" t="str">
            <v>CO2</v>
          </cell>
          <cell r="B104" t="str">
            <v>VAR_fout</v>
          </cell>
          <cell r="C104" t="str">
            <v>D-RLFO</v>
          </cell>
          <cell r="E104">
            <v>4514.4853319508002</v>
          </cell>
          <cell r="F104">
            <v>3846.5288058136298</v>
          </cell>
          <cell r="G104">
            <v>3594.2138592535298</v>
          </cell>
          <cell r="H104">
            <v>1675.18107709779</v>
          </cell>
          <cell r="I104">
            <v>351.57336913264498</v>
          </cell>
          <cell r="J104">
            <v>5.3902002405587196E-4</v>
          </cell>
        </row>
        <row r="105">
          <cell r="A105" t="str">
            <v>CO2</v>
          </cell>
          <cell r="B105" t="str">
            <v>VAR_fout</v>
          </cell>
          <cell r="C105" t="str">
            <v>D-TGSL</v>
          </cell>
          <cell r="E105">
            <v>5894.6616604480396</v>
          </cell>
          <cell r="F105">
            <v>5597.8085672428097</v>
          </cell>
          <cell r="G105">
            <v>5300.4270544092496</v>
          </cell>
          <cell r="H105">
            <v>3191.7908723443702</v>
          </cell>
          <cell r="I105">
            <v>418.32095246849701</v>
          </cell>
          <cell r="J105">
            <v>11.946878798407599</v>
          </cell>
        </row>
        <row r="106">
          <cell r="A106" t="str">
            <v>CO2</v>
          </cell>
          <cell r="B106" t="str">
            <v>VAR_fout</v>
          </cell>
          <cell r="C106" t="str">
            <v>SUP_WODH2CCS</v>
          </cell>
          <cell r="J106">
            <v>-971.30462515719296</v>
          </cell>
        </row>
        <row r="107">
          <cell r="A107" t="str">
            <v>CO2</v>
          </cell>
          <cell r="B107" t="str">
            <v>VAR_fout</v>
          </cell>
          <cell r="C107" t="str">
            <v>SUP_WODBIOCCS</v>
          </cell>
          <cell r="I107">
            <v>-1.20515769059025E-2</v>
          </cell>
          <cell r="J107">
            <v>-1.4288686561813001E-2</v>
          </cell>
        </row>
        <row r="108">
          <cell r="A108" t="str">
            <v>CO2</v>
          </cell>
          <cell r="B108" t="str">
            <v>VAR_fout</v>
          </cell>
          <cell r="C108" t="str">
            <v>SUP_NGAH2CCS</v>
          </cell>
          <cell r="J108">
            <v>-14.4747305977713</v>
          </cell>
        </row>
        <row r="109">
          <cell r="A109" t="str">
            <v>CO2</v>
          </cell>
          <cell r="B109" t="str">
            <v>VAR_fout</v>
          </cell>
          <cell r="C109" t="str">
            <v>CT_CWODETHCCS</v>
          </cell>
          <cell r="I109">
            <v>-1.2548817296998099E-3</v>
          </cell>
          <cell r="J109">
            <v>-1.6887572251835601E-3</v>
          </cell>
        </row>
        <row r="110">
          <cell r="A110" t="str">
            <v>CO2</v>
          </cell>
          <cell r="B110" t="str">
            <v>VAR_fout</v>
          </cell>
          <cell r="C110" t="str">
            <v>D-INGA</v>
          </cell>
          <cell r="E110">
            <v>2101.4659029520699</v>
          </cell>
          <cell r="F110">
            <v>1712.26856998721</v>
          </cell>
          <cell r="G110">
            <v>1818.92425186937</v>
          </cell>
          <cell r="H110">
            <v>1280.3234489359199</v>
          </cell>
          <cell r="I110">
            <v>771.24238585446903</v>
          </cell>
          <cell r="J110">
            <v>115.419987734871</v>
          </cell>
        </row>
        <row r="111">
          <cell r="A111" t="str">
            <v>CO2</v>
          </cell>
          <cell r="B111" t="str">
            <v>VAR_fout</v>
          </cell>
          <cell r="C111" t="str">
            <v>SUP_DAC</v>
          </cell>
          <cell r="I111">
            <v>-2.8106686053595499E-3</v>
          </cell>
          <cell r="J111">
            <v>-9.9542328361672608E-3</v>
          </cell>
        </row>
        <row r="112">
          <cell r="A112" t="str">
            <v>CO2</v>
          </cell>
          <cell r="B112" t="str">
            <v>VAR_fout</v>
          </cell>
          <cell r="C112" t="str">
            <v>CT_CWODBDSCCS</v>
          </cell>
          <cell r="I112">
            <v>-9.9329309749504706E-3</v>
          </cell>
          <cell r="J112">
            <v>-444.86983649063001</v>
          </cell>
        </row>
        <row r="113">
          <cell r="A113" t="str">
            <v>ENGA</v>
          </cell>
          <cell r="B113" t="str">
            <v>VAR_fout</v>
          </cell>
          <cell r="C113" t="str">
            <v>D-ENGA</v>
          </cell>
          <cell r="E113">
            <v>5.7018227835791597</v>
          </cell>
          <cell r="F113">
            <v>2.8112992663356042</v>
          </cell>
          <cell r="G113">
            <v>0.59940652871322819</v>
          </cell>
          <cell r="I113">
            <v>2.943806298747651E-5</v>
          </cell>
          <cell r="J113">
            <v>7.2984638625642723E-2</v>
          </cell>
        </row>
        <row r="114">
          <cell r="A114" t="str">
            <v>ILFO</v>
          </cell>
          <cell r="B114" t="str">
            <v>VAR_fout</v>
          </cell>
          <cell r="C114" t="str">
            <v>D-ILFO</v>
          </cell>
          <cell r="E114">
            <v>9.1914548123334967</v>
          </cell>
          <cell r="F114">
            <v>8.8000079228278079</v>
          </cell>
          <cell r="G114">
            <v>8.0403812209495449</v>
          </cell>
          <cell r="H114">
            <v>6.9784662098747763</v>
          </cell>
          <cell r="I114">
            <v>2.9746750757930913</v>
          </cell>
          <cell r="J114">
            <v>0.22493045138776546</v>
          </cell>
        </row>
        <row r="115">
          <cell r="A115" t="str">
            <v>CHEAT</v>
          </cell>
          <cell r="B115" t="str">
            <v>VAR_fout</v>
          </cell>
          <cell r="C115" t="str">
            <v>D-CHEAT</v>
          </cell>
          <cell r="I115">
            <v>4.6435511857718736E-4</v>
          </cell>
          <cell r="J115">
            <v>3.062535740057606E-4</v>
          </cell>
        </row>
        <row r="116">
          <cell r="A116" t="str">
            <v>CHEAT</v>
          </cell>
          <cell r="B116" t="str">
            <v>VAR_fin</v>
          </cell>
          <cell r="C116" t="str">
            <v>SUP_ELCH2_SOEC</v>
          </cell>
          <cell r="I116">
            <v>4.4566647617827189E-4</v>
          </cell>
          <cell r="J116">
            <v>2.4280757848605848E-4</v>
          </cell>
        </row>
        <row r="117">
          <cell r="A117" t="str">
            <v>CHEAT</v>
          </cell>
          <cell r="B117" t="str">
            <v>VAR_fin</v>
          </cell>
          <cell r="C117" t="str">
            <v>SUP_DAC</v>
          </cell>
          <cell r="I117">
            <v>1.8688642398915311E-5</v>
          </cell>
          <cell r="J117">
            <v>6.3445995519702088E-5</v>
          </cell>
        </row>
        <row r="118">
          <cell r="A118" t="str">
            <v>EH2</v>
          </cell>
          <cell r="B118" t="str">
            <v>VAR_fout</v>
          </cell>
          <cell r="C118" t="str">
            <v>D-ENGA</v>
          </cell>
          <cell r="I118">
            <v>1.1233768981945638E-5</v>
          </cell>
          <cell r="J118">
            <v>2.0323557384362258E-3</v>
          </cell>
        </row>
        <row r="119">
          <cell r="A119" t="str">
            <v>TDSL</v>
          </cell>
          <cell r="B119" t="str">
            <v>VAR_fout</v>
          </cell>
          <cell r="C119" t="str">
            <v>D-TBDS1</v>
          </cell>
          <cell r="E119">
            <v>2.9715732484498276</v>
          </cell>
          <cell r="F119">
            <v>2.9709469121912515</v>
          </cell>
          <cell r="G119">
            <v>4.4826195098004025</v>
          </cell>
          <cell r="H119">
            <v>3.7292173172481129</v>
          </cell>
          <cell r="I119">
            <v>2.9717795783634537</v>
          </cell>
          <cell r="J119">
            <v>17.32729478682031</v>
          </cell>
        </row>
        <row r="120">
          <cell r="A120" t="str">
            <v>CNGA</v>
          </cell>
          <cell r="B120" t="str">
            <v>VAR_fout</v>
          </cell>
          <cell r="C120" t="str">
            <v>D-CNGA</v>
          </cell>
          <cell r="J120">
            <v>0.28947541710994318</v>
          </cell>
        </row>
        <row r="121">
          <cell r="A121" t="str">
            <v>CNGA</v>
          </cell>
          <cell r="B121" t="str">
            <v>VAR_fin</v>
          </cell>
          <cell r="C121" t="str">
            <v>SUP_NGAH2</v>
          </cell>
          <cell r="J121">
            <v>1.111192913367043E-3</v>
          </cell>
        </row>
        <row r="122">
          <cell r="A122" t="str">
            <v>CNGA</v>
          </cell>
          <cell r="B122" t="str">
            <v>VAR_fin</v>
          </cell>
          <cell r="C122" t="str">
            <v>SUP_NGAH2CCS</v>
          </cell>
          <cell r="J122">
            <v>0.28836422419657637</v>
          </cell>
        </row>
        <row r="123">
          <cell r="A123" t="str">
            <v>LBIO</v>
          </cell>
          <cell r="B123" t="str">
            <v>VAR_fin</v>
          </cell>
          <cell r="C123" t="str">
            <v>D-LBIO</v>
          </cell>
          <cell r="H123">
            <v>2.1354118909399475</v>
          </cell>
          <cell r="I123">
            <v>2.1352634118472578</v>
          </cell>
          <cell r="J123">
            <v>2.1352749062577718</v>
          </cell>
        </row>
        <row r="124">
          <cell r="A124" t="str">
            <v>H2_E</v>
          </cell>
          <cell r="B124" t="str">
            <v>VAR_fout</v>
          </cell>
          <cell r="C124" t="str">
            <v>SUP_ELCH2_D</v>
          </cell>
          <cell r="H124">
            <v>1.2476899068884962E-6</v>
          </cell>
          <cell r="I124">
            <v>0.86825537078302217</v>
          </cell>
          <cell r="J124">
            <v>1.2106885987613063</v>
          </cell>
        </row>
        <row r="125">
          <cell r="A125" t="str">
            <v>H2_E</v>
          </cell>
          <cell r="B125" t="str">
            <v>VAR_fin</v>
          </cell>
          <cell r="C125" t="str">
            <v>D-DH2</v>
          </cell>
          <cell r="H125">
            <v>1.2074556398766084E-6</v>
          </cell>
          <cell r="I125">
            <v>0.86825537078302217</v>
          </cell>
          <cell r="J125">
            <v>1.2106885987613063</v>
          </cell>
        </row>
        <row r="126">
          <cell r="A126" t="str">
            <v>BNGA</v>
          </cell>
          <cell r="B126" t="str">
            <v>VAR_fout</v>
          </cell>
          <cell r="C126" t="str">
            <v>SUP_BIONGA</v>
          </cell>
          <cell r="E126">
            <v>1.1764762315340063</v>
          </cell>
          <cell r="F126">
            <v>3.6433590092894077</v>
          </cell>
          <cell r="G126">
            <v>2.8153524492015696</v>
          </cell>
          <cell r="H126">
            <v>2.8152132737782103</v>
          </cell>
          <cell r="I126">
            <v>2.8156485167439351</v>
          </cell>
          <cell r="J126">
            <v>3.1786215740483459</v>
          </cell>
        </row>
        <row r="127">
          <cell r="A127" t="str">
            <v>BNGA</v>
          </cell>
          <cell r="B127" t="str">
            <v>VAR_fin</v>
          </cell>
          <cell r="C127" t="str">
            <v>D-ENGA</v>
          </cell>
          <cell r="E127">
            <v>0.20208926504356003</v>
          </cell>
          <cell r="F127">
            <v>4.7923906259003607E-5</v>
          </cell>
          <cell r="G127">
            <v>5.656502485754375E-2</v>
          </cell>
          <cell r="I127">
            <v>2.6834129479241752E-5</v>
          </cell>
          <cell r="J127">
            <v>7.3224440263789825E-2</v>
          </cell>
        </row>
        <row r="128">
          <cell r="A128" t="str">
            <v>BNGA</v>
          </cell>
          <cell r="B128" t="str">
            <v>VAR_fin</v>
          </cell>
          <cell r="C128" t="str">
            <v>D-CNGA</v>
          </cell>
          <cell r="J128">
            <v>0.2904001809477052</v>
          </cell>
        </row>
        <row r="129">
          <cell r="A129" t="str">
            <v>BNGA</v>
          </cell>
          <cell r="B129" t="str">
            <v>VAR_fin</v>
          </cell>
          <cell r="C129" t="str">
            <v>D-TNGA</v>
          </cell>
          <cell r="E129">
            <v>2.314077332541363E-2</v>
          </cell>
          <cell r="F129">
            <v>1.6173497874621353E-2</v>
          </cell>
          <cell r="G129">
            <v>2.3884715761978638E-3</v>
          </cell>
          <cell r="H129">
            <v>6.0054502932270169E-5</v>
          </cell>
          <cell r="I129">
            <v>1.4110931731236721E-4</v>
          </cell>
          <cell r="J129">
            <v>5.8890435213348562E-5</v>
          </cell>
        </row>
        <row r="130">
          <cell r="A130" t="str">
            <v>BNGA</v>
          </cell>
          <cell r="B130" t="str">
            <v>VAR_fin</v>
          </cell>
          <cell r="C130" t="str">
            <v>D-SNGA</v>
          </cell>
          <cell r="E130">
            <v>0.30820222331281855</v>
          </cell>
          <cell r="F130">
            <v>1.6469398499906771</v>
          </cell>
          <cell r="G130">
            <v>4.7536528092367841E-3</v>
          </cell>
          <cell r="H130">
            <v>1.0100986919668831E-4</v>
          </cell>
          <cell r="I130">
            <v>3.3316993598574368E-4</v>
          </cell>
          <cell r="J130">
            <v>1.6107741029973107E-4</v>
          </cell>
        </row>
        <row r="131">
          <cell r="A131" t="str">
            <v>BNGA</v>
          </cell>
          <cell r="B131" t="str">
            <v>VAR_fin</v>
          </cell>
          <cell r="C131" t="str">
            <v>D-RNGA</v>
          </cell>
          <cell r="E131">
            <v>0.31295428754925114</v>
          </cell>
          <cell r="F131">
            <v>1.9802735668322482</v>
          </cell>
          <cell r="G131">
            <v>4.8567440194183104E-3</v>
          </cell>
          <cell r="H131">
            <v>1.0164299843378461E-4</v>
          </cell>
          <cell r="I131">
            <v>3.3642983216399669E-4</v>
          </cell>
          <cell r="J131">
            <v>1.6384949600686198E-4</v>
          </cell>
        </row>
        <row r="132">
          <cell r="A132" t="str">
            <v>BNGA</v>
          </cell>
          <cell r="B132" t="str">
            <v>VAR_fin</v>
          </cell>
          <cell r="C132" t="str">
            <v>D-INGA</v>
          </cell>
          <cell r="E132">
            <v>0.33011630349750809</v>
          </cell>
          <cell r="F132">
            <v>4.9481535029329667E-5</v>
          </cell>
          <cell r="G132">
            <v>2.7468870972507311</v>
          </cell>
          <cell r="H132">
            <v>2.8150554980637281</v>
          </cell>
          <cell r="I132">
            <v>2.8150567270165405</v>
          </cell>
          <cell r="J132">
            <v>2.8150572967247003</v>
          </cell>
        </row>
        <row r="133">
          <cell r="A133" t="str">
            <v>LFO</v>
          </cell>
          <cell r="B133" t="str">
            <v>VAR_fin</v>
          </cell>
          <cell r="C133" t="str">
            <v>D-ILFO</v>
          </cell>
          <cell r="E133">
            <v>9.3475701270709202</v>
          </cell>
          <cell r="F133">
            <v>8.9494745779562841</v>
          </cell>
          <cell r="G133">
            <v>8.1768871939363432</v>
          </cell>
          <cell r="H133">
            <v>6.8682277370471621</v>
          </cell>
          <cell r="I133">
            <v>2.7964552296109262</v>
          </cell>
          <cell r="J133">
            <v>5.9237057202336008E-6</v>
          </cell>
        </row>
        <row r="134">
          <cell r="A134" t="str">
            <v>LFO</v>
          </cell>
          <cell r="B134" t="str">
            <v>VAR_fin</v>
          </cell>
          <cell r="C134" t="str">
            <v>D-SLFO</v>
          </cell>
          <cell r="E134">
            <v>30.770540216326914</v>
          </cell>
          <cell r="F134">
            <v>27.238848233677107</v>
          </cell>
          <cell r="G134">
            <v>24.892430549095188</v>
          </cell>
          <cell r="H134">
            <v>12.969955929574866</v>
          </cell>
          <cell r="I134">
            <v>3.4309186172499353</v>
          </cell>
          <cell r="J134">
            <v>6.0727983232779611E-6</v>
          </cell>
        </row>
        <row r="135">
          <cell r="A135" t="str">
            <v>LFO</v>
          </cell>
          <cell r="B135" t="str">
            <v>VAR_fin</v>
          </cell>
          <cell r="C135" t="str">
            <v>D-RLFO</v>
          </cell>
          <cell r="E135">
            <v>61.254889171652557</v>
          </cell>
          <cell r="F135">
            <v>52.191706998828103</v>
          </cell>
          <cell r="G135">
            <v>48.768166339939242</v>
          </cell>
          <cell r="H135">
            <v>22.729729675682325</v>
          </cell>
          <cell r="I135">
            <v>4.7703306530888057</v>
          </cell>
          <cell r="J135">
            <v>7.3137045326441252E-6</v>
          </cell>
        </row>
        <row r="136">
          <cell r="A136" t="str">
            <v>MNR</v>
          </cell>
          <cell r="B136" t="str">
            <v>VAR_fin</v>
          </cell>
          <cell r="C136" t="str">
            <v>SUP_MNRBIO</v>
          </cell>
          <cell r="E136">
            <v>3.7980974745362204</v>
          </cell>
          <cell r="F136">
            <v>10.171950244929162</v>
          </cell>
          <cell r="G136">
            <v>12.540050449912423</v>
          </cell>
          <cell r="H136">
            <v>12.540436679121591</v>
          </cell>
          <cell r="I136">
            <v>14.631053610141501</v>
          </cell>
          <cell r="J136">
            <v>26.817102852494489</v>
          </cell>
        </row>
        <row r="137">
          <cell r="A137" t="str">
            <v>TNGA</v>
          </cell>
          <cell r="B137" t="str">
            <v>VAR_fout</v>
          </cell>
          <cell r="C137" t="str">
            <v>D-TNGA</v>
          </cell>
          <cell r="E137">
            <v>0.30831868710437854</v>
          </cell>
          <cell r="F137">
            <v>0.16868428628497326</v>
          </cell>
          <cell r="G137">
            <v>0.24634950791459151</v>
          </cell>
          <cell r="H137">
            <v>5.0254889153774724E-3</v>
          </cell>
          <cell r="I137">
            <v>3.8075609385892837E-3</v>
          </cell>
          <cell r="J137">
            <v>3.6276615861792147E-4</v>
          </cell>
        </row>
        <row r="138">
          <cell r="A138" t="str">
            <v>WOD</v>
          </cell>
          <cell r="B138" t="str">
            <v>VAR_fin</v>
          </cell>
          <cell r="C138" t="str">
            <v>D-CWOD</v>
          </cell>
          <cell r="E138">
            <v>9.4598621704282735</v>
          </cell>
          <cell r="F138">
            <v>10.113219051058541</v>
          </cell>
          <cell r="G138">
            <v>9.8755689680607421</v>
          </cell>
          <cell r="H138">
            <v>7.7561334919503118</v>
          </cell>
          <cell r="I138">
            <v>8.2179477627380884</v>
          </cell>
          <cell r="J138">
            <v>24.41591420260383</v>
          </cell>
        </row>
        <row r="139">
          <cell r="A139" t="str">
            <v>GSL</v>
          </cell>
          <cell r="B139" t="str">
            <v>VAR_fout</v>
          </cell>
          <cell r="C139" t="str">
            <v>SUP_H2GSL</v>
          </cell>
          <cell r="I139">
            <v>7.7546069614359517E-2</v>
          </cell>
          <cell r="J139">
            <v>0.16188182653668864</v>
          </cell>
        </row>
        <row r="140">
          <cell r="A140" t="str">
            <v>GSL</v>
          </cell>
          <cell r="B140" t="str">
            <v>VAR_fin</v>
          </cell>
          <cell r="C140" t="str">
            <v>D-TGSL</v>
          </cell>
          <cell r="E140">
            <v>79.873464233713207</v>
          </cell>
          <cell r="F140">
            <v>75.851064596785974</v>
          </cell>
          <cell r="G140">
            <v>71.821504802293347</v>
          </cell>
          <cell r="H140">
            <v>43.249198812254313</v>
          </cell>
          <cell r="I140">
            <v>5.6683055890040288</v>
          </cell>
          <cell r="J140">
            <v>0.16188182653668864</v>
          </cell>
        </row>
        <row r="141">
          <cell r="A141" t="str">
            <v>IBIO</v>
          </cell>
          <cell r="B141" t="str">
            <v>VAR_fout</v>
          </cell>
          <cell r="C141" t="str">
            <v>D-IBIO</v>
          </cell>
          <cell r="E141">
            <v>0.43674914105609136</v>
          </cell>
          <cell r="F141">
            <v>0.55207105690642666</v>
          </cell>
          <cell r="G141">
            <v>4.2703934225300229</v>
          </cell>
          <cell r="H141">
            <v>8.372233475412644</v>
          </cell>
          <cell r="I141">
            <v>8.8293064427204691</v>
          </cell>
          <cell r="J141">
            <v>10.140440428440646</v>
          </cell>
        </row>
        <row r="142">
          <cell r="A142" t="str">
            <v>SNGA</v>
          </cell>
          <cell r="B142" t="str">
            <v>VAR_fout</v>
          </cell>
          <cell r="C142" t="str">
            <v>D-SNGA</v>
          </cell>
          <cell r="E142">
            <v>27.207339836414256</v>
          </cell>
          <cell r="F142">
            <v>28.488347279735041</v>
          </cell>
          <cell r="G142">
            <v>23.972051755387213</v>
          </cell>
          <cell r="H142">
            <v>16.976388252757616</v>
          </cell>
          <cell r="I142">
            <v>6.509048285118241</v>
          </cell>
          <cell r="J142">
            <v>3.3494954051327217</v>
          </cell>
        </row>
        <row r="143">
          <cell r="A143" t="str">
            <v>AUX_H2STG_IN</v>
          </cell>
          <cell r="B143" t="str">
            <v>VAR_fin</v>
          </cell>
          <cell r="C143" t="str">
            <v>STG-H2</v>
          </cell>
          <cell r="H143">
            <v>4.8482503363009289E-6</v>
          </cell>
          <cell r="I143">
            <v>2.3898102708289679E-5</v>
          </cell>
          <cell r="J143">
            <v>1.3917320357160927E-5</v>
          </cell>
        </row>
        <row r="144">
          <cell r="A144" t="str">
            <v>AUX_H2STG_IN</v>
          </cell>
          <cell r="B144" t="str">
            <v>VAR_fin</v>
          </cell>
          <cell r="C144" t="str">
            <v>STG-H2</v>
          </cell>
          <cell r="H144">
            <v>1.9182548148802465E-5</v>
          </cell>
          <cell r="I144">
            <v>1.7299020089391905E-4</v>
          </cell>
          <cell r="J144">
            <v>6.2166368446796438</v>
          </cell>
        </row>
        <row r="145">
          <cell r="A145" t="str">
            <v>AUX_H2STG_IN</v>
          </cell>
          <cell r="B145" t="str">
            <v>VAR_fin</v>
          </cell>
          <cell r="C145" t="str">
            <v>STG-H2</v>
          </cell>
          <cell r="H145">
            <v>3.5143927303615554E-6</v>
          </cell>
          <cell r="I145">
            <v>1.8741996108710431E-5</v>
          </cell>
          <cell r="J145">
            <v>1.2057370965465245E-5</v>
          </cell>
        </row>
        <row r="146">
          <cell r="A146" t="str">
            <v>AUX_H2STG_IN</v>
          </cell>
          <cell r="B146" t="str">
            <v>VAR_fin</v>
          </cell>
          <cell r="C146" t="str">
            <v>STG-H2</v>
          </cell>
          <cell r="H146">
            <v>4.7241101938974393E-6</v>
          </cell>
          <cell r="I146">
            <v>1.6168732271771488E-5</v>
          </cell>
          <cell r="J146">
            <v>1.2087787018511626E-5</v>
          </cell>
        </row>
        <row r="147">
          <cell r="A147" t="str">
            <v>AUX_H2STG_IN</v>
          </cell>
          <cell r="B147" t="str">
            <v>VAR_fin</v>
          </cell>
          <cell r="C147" t="str">
            <v>STG-H2</v>
          </cell>
          <cell r="H147">
            <v>6.0957948882425388E-6</v>
          </cell>
          <cell r="I147">
            <v>1.1418136980514759E-4</v>
          </cell>
          <cell r="J147">
            <v>6.2165987822013031</v>
          </cell>
        </row>
        <row r="148">
          <cell r="A148" t="str">
            <v>H2</v>
          </cell>
          <cell r="B148" t="str">
            <v>VAR_fout</v>
          </cell>
          <cell r="C148" t="str">
            <v>SUP_NGAH2</v>
          </cell>
          <cell r="J148">
            <v>8.445066141589537E-4</v>
          </cell>
        </row>
        <row r="149">
          <cell r="A149" t="str">
            <v>H2</v>
          </cell>
          <cell r="B149" t="str">
            <v>VAR_fout</v>
          </cell>
          <cell r="C149" t="str">
            <v>STG-H2</v>
          </cell>
          <cell r="H149">
            <v>4.5397315862637406E-6</v>
          </cell>
          <cell r="I149">
            <v>2.9368353401569423E-5</v>
          </cell>
          <cell r="J149">
            <v>0.45759657778733259</v>
          </cell>
        </row>
        <row r="150">
          <cell r="A150" t="str">
            <v>H2</v>
          </cell>
          <cell r="B150" t="str">
            <v>VAR_fout</v>
          </cell>
          <cell r="C150" t="str">
            <v>STG-H2</v>
          </cell>
          <cell r="H150">
            <v>1.8997108264985689E-5</v>
          </cell>
          <cell r="I150">
            <v>1.7126318487519309E-4</v>
          </cell>
          <cell r="J150">
            <v>6.1544706802198101</v>
          </cell>
        </row>
        <row r="151">
          <cell r="A151" t="str">
            <v>H2</v>
          </cell>
          <cell r="B151" t="str">
            <v>VAR_fout</v>
          </cell>
          <cell r="C151" t="str">
            <v>STG-H2</v>
          </cell>
          <cell r="H151">
            <v>5.9058288142983148E-6</v>
          </cell>
          <cell r="I151">
            <v>4.556510014555369E-5</v>
          </cell>
          <cell r="J151">
            <v>3.2645953208367566</v>
          </cell>
        </row>
        <row r="152">
          <cell r="A152" t="str">
            <v>H2</v>
          </cell>
          <cell r="B152" t="str">
            <v>VAR_fout</v>
          </cell>
          <cell r="C152" t="str">
            <v>STG-H2</v>
          </cell>
          <cell r="H152">
            <v>4.3919166829239346E-6</v>
          </cell>
          <cell r="I152">
            <v>6.2833879989105957E-5</v>
          </cell>
          <cell r="J152">
            <v>2.4322389534089917</v>
          </cell>
        </row>
        <row r="153">
          <cell r="A153" t="str">
            <v>H2</v>
          </cell>
          <cell r="B153" t="str">
            <v>VAR_fout</v>
          </cell>
          <cell r="C153" t="str">
            <v>STG-H2</v>
          </cell>
          <cell r="H153">
            <v>4.1596311814996608E-6</v>
          </cell>
          <cell r="I153">
            <v>3.3495851338964118E-5</v>
          </cell>
          <cell r="J153">
            <v>3.9828186723666103E-5</v>
          </cell>
        </row>
        <row r="154">
          <cell r="A154" t="str">
            <v>H2</v>
          </cell>
          <cell r="B154" t="str">
            <v>VAR_fout</v>
          </cell>
          <cell r="C154" t="str">
            <v>IMPH2</v>
          </cell>
          <cell r="I154">
            <v>2.7929129304174021</v>
          </cell>
          <cell r="J154">
            <v>2.792914887581456</v>
          </cell>
        </row>
        <row r="155">
          <cell r="A155" t="str">
            <v>H2</v>
          </cell>
          <cell r="B155" t="str">
            <v>VAR_fout</v>
          </cell>
          <cell r="C155" t="str">
            <v>SUP_WODH2</v>
          </cell>
          <cell r="J155">
            <v>1.5479206353193468E-4</v>
          </cell>
        </row>
        <row r="156">
          <cell r="A156" t="str">
            <v>H2</v>
          </cell>
          <cell r="B156" t="str">
            <v>VAR_fout</v>
          </cell>
          <cell r="C156" t="str">
            <v>SUP_ELCH2_SOEC</v>
          </cell>
          <cell r="I156">
            <v>2.9825371867315139E-3</v>
          </cell>
          <cell r="J156">
            <v>2.1852682063745275E-3</v>
          </cell>
        </row>
        <row r="157">
          <cell r="A157" t="str">
            <v>H2</v>
          </cell>
          <cell r="B157" t="str">
            <v>VAR_fout</v>
          </cell>
          <cell r="C157" t="str">
            <v>SUP_WODH2CCS</v>
          </cell>
          <cell r="J157">
            <v>5.5888559780870137</v>
          </cell>
        </row>
        <row r="158">
          <cell r="A158" t="str">
            <v>H2</v>
          </cell>
          <cell r="B158" t="str">
            <v>VAR_fout</v>
          </cell>
          <cell r="C158" t="str">
            <v>SUP_NGAH2CCS</v>
          </cell>
          <cell r="J158">
            <v>0.19897131469563775</v>
          </cell>
        </row>
        <row r="159">
          <cell r="A159" t="str">
            <v>H2</v>
          </cell>
          <cell r="B159" t="str">
            <v>VAR_fout</v>
          </cell>
          <cell r="C159" t="str">
            <v>SUP_ELCH2</v>
          </cell>
          <cell r="E159">
            <v>3.3535542127791852E-3</v>
          </cell>
          <cell r="F159">
            <v>5.0639766062844397E-3</v>
          </cell>
          <cell r="G159">
            <v>7.5966137018679755E-3</v>
          </cell>
          <cell r="H159">
            <v>3.140548368321612E-2</v>
          </cell>
          <cell r="I159">
            <v>3.9760061902626314</v>
          </cell>
          <cell r="J159">
            <v>10.656982980023031</v>
          </cell>
        </row>
        <row r="160">
          <cell r="A160" t="str">
            <v>H2</v>
          </cell>
          <cell r="B160" t="str">
            <v>VAR_fout</v>
          </cell>
          <cell r="C160" t="str">
            <v>D-DH2</v>
          </cell>
          <cell r="H160">
            <v>1.1953810834778427E-6</v>
          </cell>
          <cell r="I160">
            <v>0.85957281707519195</v>
          </cell>
          <cell r="J160">
            <v>1.1985817127736926</v>
          </cell>
        </row>
        <row r="161">
          <cell r="A161" t="str">
            <v>H2</v>
          </cell>
          <cell r="B161" t="str">
            <v>VAR_fin</v>
          </cell>
          <cell r="C161" t="str">
            <v>STG-H2</v>
          </cell>
          <cell r="H161">
            <v>4.8482503363009289E-6</v>
          </cell>
          <cell r="I161">
            <v>2.3898102708289679E-5</v>
          </cell>
          <cell r="J161">
            <v>1.3917320357160927E-5</v>
          </cell>
        </row>
        <row r="162">
          <cell r="A162" t="str">
            <v>H2</v>
          </cell>
          <cell r="B162" t="str">
            <v>VAR_fin</v>
          </cell>
          <cell r="C162" t="str">
            <v>STG-H2</v>
          </cell>
          <cell r="H162">
            <v>1.9182548148802465E-5</v>
          </cell>
          <cell r="I162">
            <v>1.7299020089391905E-4</v>
          </cell>
          <cell r="J162">
            <v>6.2166368446796438</v>
          </cell>
        </row>
        <row r="163">
          <cell r="A163" t="str">
            <v>H2</v>
          </cell>
          <cell r="B163" t="str">
            <v>VAR_fin</v>
          </cell>
          <cell r="C163" t="str">
            <v>STG-H2</v>
          </cell>
          <cell r="H163">
            <v>3.5143927303615554E-6</v>
          </cell>
          <cell r="I163">
            <v>1.8741996108710431E-5</v>
          </cell>
          <cell r="J163">
            <v>1.2057370965465245E-5</v>
          </cell>
        </row>
        <row r="164">
          <cell r="A164" t="str">
            <v>H2</v>
          </cell>
          <cell r="B164" t="str">
            <v>VAR_fin</v>
          </cell>
          <cell r="C164" t="str">
            <v>STG-H2</v>
          </cell>
          <cell r="H164">
            <v>4.7241101938974393E-6</v>
          </cell>
          <cell r="I164">
            <v>1.6168732271771488E-5</v>
          </cell>
          <cell r="J164">
            <v>1.2087787018511626E-5</v>
          </cell>
        </row>
        <row r="165">
          <cell r="A165" t="str">
            <v>H2</v>
          </cell>
          <cell r="B165" t="str">
            <v>VAR_fin</v>
          </cell>
          <cell r="C165" t="str">
            <v>STG-H2</v>
          </cell>
          <cell r="H165">
            <v>6.0957948882425388E-6</v>
          </cell>
          <cell r="I165">
            <v>1.1418136980514759E-4</v>
          </cell>
          <cell r="J165">
            <v>6.2165987822013031</v>
          </cell>
        </row>
        <row r="166">
          <cell r="A166" t="str">
            <v>H2</v>
          </cell>
          <cell r="B166" t="str">
            <v>VAR_fin</v>
          </cell>
          <cell r="C166" t="str">
            <v>SUP_H2NGA</v>
          </cell>
          <cell r="I166">
            <v>3.2306253208343053E-4</v>
          </cell>
          <cell r="J166">
            <v>1.8995730847700044E-4</v>
          </cell>
        </row>
        <row r="167">
          <cell r="A167" t="str">
            <v>H2</v>
          </cell>
          <cell r="B167" t="str">
            <v>VAR_fin</v>
          </cell>
          <cell r="C167" t="str">
            <v>D-ENGA</v>
          </cell>
          <cell r="I167">
            <v>1.0768066921003471E-6</v>
          </cell>
          <cell r="J167">
            <v>2.0278488829835232E-3</v>
          </cell>
        </row>
        <row r="168">
          <cell r="A168" t="str">
            <v>H2</v>
          </cell>
          <cell r="B168" t="str">
            <v>VAR_fin</v>
          </cell>
          <cell r="C168" t="str">
            <v>D-TNGA</v>
          </cell>
          <cell r="F168">
            <v>2.0030791415487606E-3</v>
          </cell>
          <cell r="G168">
            <v>4.6076871471657128E-3</v>
          </cell>
          <cell r="H168">
            <v>2.725848425793354E-5</v>
          </cell>
          <cell r="I168">
            <v>4.0355334155248999E-5</v>
          </cell>
          <cell r="J168">
            <v>8.899971026941052E-6</v>
          </cell>
        </row>
        <row r="169">
          <cell r="A169" t="str">
            <v>H2</v>
          </cell>
          <cell r="B169" t="str">
            <v>VAR_fin</v>
          </cell>
          <cell r="C169" t="str">
            <v>SUP_H2GSL</v>
          </cell>
          <cell r="I169">
            <v>0.11078009944908514</v>
          </cell>
          <cell r="J169">
            <v>0.23125975219526981</v>
          </cell>
        </row>
        <row r="170">
          <cell r="A170" t="str">
            <v>H2</v>
          </cell>
          <cell r="B170" t="str">
            <v>VAR_fin</v>
          </cell>
          <cell r="C170" t="str">
            <v>D-SNGA</v>
          </cell>
          <cell r="H170">
            <v>4.0483946409262234E-4</v>
          </cell>
          <cell r="I170">
            <v>1.328063140234864E-2</v>
          </cell>
          <cell r="J170">
            <v>8.1846764548339172E-3</v>
          </cell>
        </row>
        <row r="171">
          <cell r="A171" t="str">
            <v>H2</v>
          </cell>
          <cell r="B171" t="str">
            <v>VAR_fin</v>
          </cell>
          <cell r="C171" t="str">
            <v>D-RNGA</v>
          </cell>
          <cell r="H171">
            <v>4.2650237763397465E-4</v>
          </cell>
          <cell r="I171">
            <v>3.5810339772159583E-2</v>
          </cell>
          <cell r="J171">
            <v>2.1916027340787712E-2</v>
          </cell>
        </row>
        <row r="172">
          <cell r="A172" t="str">
            <v>H2</v>
          </cell>
          <cell r="B172" t="str">
            <v>VAR_fin</v>
          </cell>
          <cell r="C172" t="str">
            <v>D-INGA</v>
          </cell>
          <cell r="H172">
            <v>2.5830910353100152E-2</v>
          </cell>
          <cell r="I172">
            <v>0.22048437956068118</v>
          </cell>
          <cell r="J172">
            <v>0.14991566171940898</v>
          </cell>
        </row>
        <row r="173">
          <cell r="A173" t="str">
            <v>H2</v>
          </cell>
          <cell r="B173" t="str">
            <v>VAR_fin</v>
          </cell>
          <cell r="C173" t="str">
            <v>SUP_H2DSL</v>
          </cell>
          <cell r="I173">
            <v>1.492935882037751</v>
          </cell>
          <cell r="J173">
            <v>5.6370416582601099E-2</v>
          </cell>
        </row>
        <row r="174">
          <cell r="A174" t="str">
            <v>AUX_H2STG_OUT</v>
          </cell>
          <cell r="B174" t="str">
            <v>VAR_fout</v>
          </cell>
          <cell r="C174" t="str">
            <v>STG-H2</v>
          </cell>
          <cell r="H174">
            <v>4.5397315862637406E-6</v>
          </cell>
          <cell r="I174">
            <v>2.9368353401569423E-5</v>
          </cell>
          <cell r="J174">
            <v>0.45759657778733259</v>
          </cell>
        </row>
        <row r="175">
          <cell r="A175" t="str">
            <v>AUX_H2STG_OUT</v>
          </cell>
          <cell r="B175" t="str">
            <v>VAR_fout</v>
          </cell>
          <cell r="C175" t="str">
            <v>STG-H2</v>
          </cell>
          <cell r="H175">
            <v>1.8997108264985689E-5</v>
          </cell>
          <cell r="I175">
            <v>1.7126318487519309E-4</v>
          </cell>
          <cell r="J175">
            <v>6.1544706802198101</v>
          </cell>
        </row>
        <row r="176">
          <cell r="A176" t="str">
            <v>AUX_H2STG_OUT</v>
          </cell>
          <cell r="B176" t="str">
            <v>VAR_fout</v>
          </cell>
          <cell r="C176" t="str">
            <v>STG-H2</v>
          </cell>
          <cell r="H176">
            <v>5.9058288142983148E-6</v>
          </cell>
          <cell r="I176">
            <v>4.556510014555369E-5</v>
          </cell>
          <cell r="J176">
            <v>3.2645953208367566</v>
          </cell>
        </row>
        <row r="177">
          <cell r="A177" t="str">
            <v>AUX_H2STG_OUT</v>
          </cell>
          <cell r="B177" t="str">
            <v>VAR_fout</v>
          </cell>
          <cell r="C177" t="str">
            <v>STG-H2</v>
          </cell>
          <cell r="H177">
            <v>4.3919166829239346E-6</v>
          </cell>
          <cell r="I177">
            <v>6.2833879989105957E-5</v>
          </cell>
          <cell r="J177">
            <v>2.4322389534089917</v>
          </cell>
        </row>
        <row r="178">
          <cell r="A178" t="str">
            <v>AUX_H2STG_OUT</v>
          </cell>
          <cell r="B178" t="str">
            <v>VAR_fout</v>
          </cell>
          <cell r="C178" t="str">
            <v>STG-H2</v>
          </cell>
          <cell r="H178">
            <v>4.1596311814996608E-6</v>
          </cell>
          <cell r="I178">
            <v>3.3495851338964132E-5</v>
          </cell>
          <cell r="J178">
            <v>3.9828186723666103E-5</v>
          </cell>
        </row>
        <row r="179">
          <cell r="A179" t="str">
            <v>RNGA</v>
          </cell>
          <cell r="B179" t="str">
            <v>VAR_fout</v>
          </cell>
          <cell r="C179" t="str">
            <v>D-RNGA</v>
          </cell>
          <cell r="E179">
            <v>47.164311800487766</v>
          </cell>
          <cell r="F179">
            <v>48.283023494768528</v>
          </cell>
          <cell r="G179">
            <v>46.76123005487117</v>
          </cell>
          <cell r="H179">
            <v>34.384933056886787</v>
          </cell>
          <cell r="I179">
            <v>13.92724384130034</v>
          </cell>
          <cell r="J179">
            <v>7.9666673042837592</v>
          </cell>
        </row>
        <row r="180">
          <cell r="A180" t="str">
            <v>CWOD</v>
          </cell>
          <cell r="B180" t="str">
            <v>VAR_fout</v>
          </cell>
          <cell r="C180" t="str">
            <v>D-CWOD</v>
          </cell>
          <cell r="E180">
            <v>9.4598621704282735</v>
          </cell>
          <cell r="F180">
            <v>10.113219051058541</v>
          </cell>
          <cell r="G180">
            <v>9.8755689680607421</v>
          </cell>
          <cell r="H180">
            <v>7.7561334919503118</v>
          </cell>
          <cell r="I180">
            <v>8.2179477627380884</v>
          </cell>
          <cell r="J180">
            <v>24.41591420260383</v>
          </cell>
        </row>
        <row r="181">
          <cell r="A181" t="str">
            <v>CWOD</v>
          </cell>
          <cell r="B181" t="str">
            <v>VAR_fin</v>
          </cell>
          <cell r="C181" t="str">
            <v>SUP_WODH2</v>
          </cell>
          <cell r="J181">
            <v>2.5798677255322455E-4</v>
          </cell>
        </row>
        <row r="182">
          <cell r="A182" t="str">
            <v>CWOD</v>
          </cell>
          <cell r="B182" t="str">
            <v>VAR_fin</v>
          </cell>
          <cell r="C182" t="str">
            <v>SUP_WODBIO</v>
          </cell>
          <cell r="F182">
            <v>6.3482252720649135E-5</v>
          </cell>
          <cell r="G182">
            <v>9.9617287878978798E-5</v>
          </cell>
          <cell r="H182">
            <v>2.848092082995372E-4</v>
          </cell>
          <cell r="I182">
            <v>2.7129575382816841E-4</v>
          </cell>
          <cell r="J182">
            <v>2.0064535000914989E-4</v>
          </cell>
        </row>
        <row r="183">
          <cell r="A183" t="str">
            <v>CWOD</v>
          </cell>
          <cell r="B183" t="str">
            <v>VAR_fin</v>
          </cell>
          <cell r="C183" t="str">
            <v>SUP_WODH2CCS</v>
          </cell>
          <cell r="J183">
            <v>9.6359585829086569</v>
          </cell>
        </row>
        <row r="184">
          <cell r="A184" t="str">
            <v>CWOD</v>
          </cell>
          <cell r="B184" t="str">
            <v>VAR_fin</v>
          </cell>
          <cell r="C184" t="str">
            <v>SUP_WODBIOCCS</v>
          </cell>
          <cell r="I184">
            <v>2.800917152166473E-4</v>
          </cell>
          <cell r="J184">
            <v>3.3213655551787071E-4</v>
          </cell>
        </row>
        <row r="185">
          <cell r="A185" t="str">
            <v>CWOD</v>
          </cell>
          <cell r="B185" t="str">
            <v>VAR_fin</v>
          </cell>
          <cell r="C185" t="str">
            <v>CT_CWODBDS</v>
          </cell>
          <cell r="E185">
            <v>1.9412110177226365</v>
          </cell>
          <cell r="F185">
            <v>1.8158795730803214</v>
          </cell>
          <cell r="G185">
            <v>2.5166897077891592</v>
          </cell>
          <cell r="H185">
            <v>1.1320295156429759E-4</v>
          </cell>
          <cell r="I185">
            <v>3.3107675118998296E-4</v>
          </cell>
          <cell r="J185">
            <v>1.8881644648044622E-4</v>
          </cell>
        </row>
        <row r="186">
          <cell r="A186" t="str">
            <v>CWOD</v>
          </cell>
          <cell r="B186" t="str">
            <v>VAR_fin</v>
          </cell>
          <cell r="C186" t="str">
            <v>CT_CWODETHCCS</v>
          </cell>
          <cell r="I186">
            <v>8.0030722557385565E-5</v>
          </cell>
          <cell r="J186">
            <v>1.0770135364691083E-4</v>
          </cell>
        </row>
        <row r="187">
          <cell r="A187" t="str">
            <v>CWOD</v>
          </cell>
          <cell r="B187" t="str">
            <v>VAR_fin</v>
          </cell>
          <cell r="C187" t="str">
            <v>CT_CWODPLT</v>
          </cell>
          <cell r="E187">
            <v>7.1186639108054486</v>
          </cell>
          <cell r="F187">
            <v>8.297228806538298</v>
          </cell>
          <cell r="G187">
            <v>6.9583734707231431</v>
          </cell>
          <cell r="H187">
            <v>7.7556791020241942</v>
          </cell>
          <cell r="I187">
            <v>8.2167050101194192</v>
          </cell>
          <cell r="J187">
            <v>7.6858278105650886</v>
          </cell>
        </row>
        <row r="188">
          <cell r="A188" t="str">
            <v>CWOD</v>
          </cell>
          <cell r="B188" t="str">
            <v>VAR_fin</v>
          </cell>
          <cell r="C188" t="str">
            <v>CT_CWODETH</v>
          </cell>
          <cell r="E188">
            <v>0.39998724190018975</v>
          </cell>
          <cell r="F188">
            <v>4.718918719526415E-5</v>
          </cell>
          <cell r="G188">
            <v>0.40040617226055664</v>
          </cell>
          <cell r="H188">
            <v>5.637776624833474E-5</v>
          </cell>
          <cell r="I188">
            <v>1.2188824069424268E-4</v>
          </cell>
          <cell r="J188">
            <v>9.0323502805970425E-5</v>
          </cell>
        </row>
        <row r="189">
          <cell r="A189" t="str">
            <v>CWOD</v>
          </cell>
          <cell r="B189" t="str">
            <v>VAR_fin</v>
          </cell>
          <cell r="C189" t="str">
            <v>CT_CWODBDSCCS</v>
          </cell>
          <cell r="I189">
            <v>1.5836943518734805E-4</v>
          </cell>
          <cell r="J189">
            <v>7.0929501991490769</v>
          </cell>
        </row>
        <row r="190">
          <cell r="A190" t="str">
            <v>KER</v>
          </cell>
          <cell r="B190" t="str">
            <v>VAR_fout</v>
          </cell>
          <cell r="C190" t="str">
            <v>SUP_H2DSL</v>
          </cell>
          <cell r="I190">
            <v>7.5917512998852965E-2</v>
          </cell>
        </row>
        <row r="191">
          <cell r="A191" t="str">
            <v>BDS</v>
          </cell>
          <cell r="B191" t="str">
            <v>VAR_fout</v>
          </cell>
          <cell r="C191" t="str">
            <v>IMPBDS</v>
          </cell>
          <cell r="E191">
            <v>2.3353099128847892</v>
          </cell>
          <cell r="F191">
            <v>2.3780137266388235</v>
          </cell>
          <cell r="G191">
            <v>3.6671655986271854</v>
          </cell>
          <cell r="H191">
            <v>4.0645533014510882</v>
          </cell>
          <cell r="I191">
            <v>3.2460392447771196</v>
          </cell>
          <cell r="J191">
            <v>17.301590776752537</v>
          </cell>
        </row>
        <row r="192">
          <cell r="A192" t="str">
            <v>BDS</v>
          </cell>
          <cell r="B192" t="str">
            <v>VAR_fout</v>
          </cell>
          <cell r="C192" t="str">
            <v>CT_CWODBDS</v>
          </cell>
          <cell r="E192">
            <v>0.68124618976053264</v>
          </cell>
          <cell r="F192">
            <v>0.63726252784008453</v>
          </cell>
          <cell r="G192">
            <v>0.88320396834151982</v>
          </cell>
          <cell r="H192">
            <v>3.9727303584592958E-5</v>
          </cell>
          <cell r="I192">
            <v>1.1618766492015559E-4</v>
          </cell>
          <cell r="J192">
            <v>6.6263009819423173E-5</v>
          </cell>
        </row>
        <row r="193">
          <cell r="A193" t="str">
            <v>BDS</v>
          </cell>
          <cell r="B193" t="str">
            <v>VAR_fout</v>
          </cell>
          <cell r="C193" t="str">
            <v>CT_CWODBDSCCS</v>
          </cell>
          <cell r="I193">
            <v>5.5577973394401839E-5</v>
          </cell>
          <cell r="J193">
            <v>2.4891911560445985</v>
          </cell>
        </row>
        <row r="194">
          <cell r="A194" t="str">
            <v>BDS</v>
          </cell>
          <cell r="B194" t="str">
            <v>VAR_fin</v>
          </cell>
          <cell r="C194" t="str">
            <v>D-ILFO</v>
          </cell>
          <cell r="G194">
            <v>5.8550317294158273E-5</v>
          </cell>
          <cell r="H194">
            <v>0.22876662193780398</v>
          </cell>
          <cell r="I194">
            <v>0.22876736932374819</v>
          </cell>
          <cell r="J194">
            <v>0.22876769844403308</v>
          </cell>
        </row>
        <row r="195">
          <cell r="A195" t="str">
            <v>BDS</v>
          </cell>
          <cell r="B195" t="str">
            <v>VAR_fin</v>
          </cell>
          <cell r="C195" t="str">
            <v>D-SLFO</v>
          </cell>
          <cell r="G195">
            <v>3.8291422765374523E-5</v>
          </cell>
          <cell r="H195">
            <v>2.8025771105447388E-4</v>
          </cell>
          <cell r="I195">
            <v>2.6046530197980459E-4</v>
          </cell>
          <cell r="J195">
            <v>8.6416608730044572E-2</v>
          </cell>
        </row>
        <row r="196">
          <cell r="A196" t="str">
            <v>BDS</v>
          </cell>
          <cell r="B196" t="str">
            <v>VAR_fin</v>
          </cell>
          <cell r="C196" t="str">
            <v>D-RLFO</v>
          </cell>
          <cell r="G196">
            <v>3.846995769685002E-5</v>
          </cell>
          <cell r="H196">
            <v>2.8186750035060973E-4</v>
          </cell>
          <cell r="I196">
            <v>2.635859890147059E-4</v>
          </cell>
          <cell r="J196">
            <v>0.17395361996869857</v>
          </cell>
        </row>
        <row r="197">
          <cell r="A197" t="str">
            <v>BDS</v>
          </cell>
          <cell r="B197" t="str">
            <v>VAR_fin</v>
          </cell>
          <cell r="C197" t="str">
            <v>D-TBDS1</v>
          </cell>
          <cell r="E197">
            <v>3.0165561026453251</v>
          </cell>
          <cell r="F197">
            <v>3.0152762544789105</v>
          </cell>
          <cell r="G197">
            <v>4.5502549218691097</v>
          </cell>
          <cell r="H197">
            <v>3.8352826884072599</v>
          </cell>
          <cell r="I197">
            <v>3.0169311296117263</v>
          </cell>
          <cell r="J197">
            <v>19.301730381018928</v>
          </cell>
        </row>
        <row r="198">
          <cell r="A198" t="str">
            <v>BIO</v>
          </cell>
          <cell r="B198" t="str">
            <v>VAR_fout</v>
          </cell>
          <cell r="C198" t="str">
            <v>SUP_WSTHTGBIO</v>
          </cell>
          <cell r="I198">
            <v>2.0887664165383714E-4</v>
          </cell>
          <cell r="J198">
            <v>2.3160976579210816E-4</v>
          </cell>
        </row>
        <row r="199">
          <cell r="A199" t="str">
            <v>BIO</v>
          </cell>
          <cell r="B199" t="str">
            <v>VAR_fout</v>
          </cell>
          <cell r="C199" t="str">
            <v>SUP_WSTBIO</v>
          </cell>
          <cell r="E199">
            <v>5.6294160392871913</v>
          </cell>
          <cell r="F199">
            <v>6.2382302378324708</v>
          </cell>
          <cell r="G199">
            <v>6.0290593932954648</v>
          </cell>
          <cell r="H199">
            <v>6.9211479462771539</v>
          </cell>
          <cell r="I199">
            <v>6.7480695597794975</v>
          </cell>
          <cell r="J199">
            <v>6.2814568701365143</v>
          </cell>
        </row>
        <row r="200">
          <cell r="A200" t="str">
            <v>BIO</v>
          </cell>
          <cell r="B200" t="str">
            <v>VAR_fout</v>
          </cell>
          <cell r="C200" t="str">
            <v>D-LBIO</v>
          </cell>
          <cell r="H200">
            <v>2.1354118909399475</v>
          </cell>
          <cell r="I200">
            <v>2.1352634118472578</v>
          </cell>
          <cell r="J200">
            <v>2.1352749062577718</v>
          </cell>
        </row>
        <row r="201">
          <cell r="A201" t="str">
            <v>BIO</v>
          </cell>
          <cell r="B201" t="str">
            <v>VAR_fout</v>
          </cell>
          <cell r="C201" t="str">
            <v>SUP_MNRBIO</v>
          </cell>
          <cell r="E201">
            <v>1.3280061099777014</v>
          </cell>
          <cell r="F201">
            <v>3.5566259597654502</v>
          </cell>
          <cell r="G201">
            <v>4.3846330244449048</v>
          </cell>
          <cell r="H201">
            <v>4.3847680696229334</v>
          </cell>
          <cell r="I201">
            <v>5.1157530105389899</v>
          </cell>
          <cell r="J201">
            <v>9.3766093889840949</v>
          </cell>
        </row>
        <row r="202">
          <cell r="A202" t="str">
            <v>BIO</v>
          </cell>
          <cell r="B202" t="str">
            <v>VAR_fout</v>
          </cell>
          <cell r="C202" t="str">
            <v>SUP_WSTHTGBIOCCS</v>
          </cell>
          <cell r="I202">
            <v>5.5310559813135542E-5</v>
          </cell>
          <cell r="J202">
            <v>7.4163801401000223E-5</v>
          </cell>
        </row>
        <row r="203">
          <cell r="A203" t="str">
            <v>BIO</v>
          </cell>
          <cell r="B203" t="str">
            <v>VAR_fout</v>
          </cell>
          <cell r="C203" t="str">
            <v>SUP_WODBIO</v>
          </cell>
          <cell r="F203">
            <v>4.7023890904184532E-5</v>
          </cell>
          <cell r="G203">
            <v>7.3790583614058309E-5</v>
          </cell>
          <cell r="H203">
            <v>2.109697839255829E-4</v>
          </cell>
          <cell r="I203">
            <v>2.0095981765049507E-4</v>
          </cell>
          <cell r="J203">
            <v>1.4862618519196279E-4</v>
          </cell>
        </row>
        <row r="204">
          <cell r="A204" t="str">
            <v>BIO</v>
          </cell>
          <cell r="B204" t="str">
            <v>VAR_fout</v>
          </cell>
          <cell r="C204" t="str">
            <v>SUP_WODBIOCCS</v>
          </cell>
          <cell r="I204">
            <v>1.8830398937140196E-4</v>
          </cell>
          <cell r="J204">
            <v>2.2301549674870808E-4</v>
          </cell>
        </row>
        <row r="205">
          <cell r="A205" t="str">
            <v>BIO</v>
          </cell>
          <cell r="B205" t="str">
            <v>VAR_fin</v>
          </cell>
          <cell r="C205" t="str">
            <v>D-IBIO</v>
          </cell>
          <cell r="E205">
            <v>0.43674914105609136</v>
          </cell>
          <cell r="F205">
            <v>0.55207105690642666</v>
          </cell>
          <cell r="G205">
            <v>4.2703934225300229</v>
          </cell>
          <cell r="H205">
            <v>8.372233475412644</v>
          </cell>
          <cell r="I205">
            <v>8.8293064427204691</v>
          </cell>
          <cell r="J205">
            <v>10.140440428440646</v>
          </cell>
        </row>
        <row r="206">
          <cell r="A206" t="str">
            <v>BIO</v>
          </cell>
          <cell r="B206" t="str">
            <v>VAR_fin</v>
          </cell>
          <cell r="C206" t="str">
            <v>D-EBIO</v>
          </cell>
          <cell r="E206">
            <v>1.1839727961330333</v>
          </cell>
          <cell r="F206">
            <v>1.1839518197429977</v>
          </cell>
          <cell r="G206">
            <v>1.1839527128335365</v>
          </cell>
          <cell r="H206">
            <v>1.1839533543253378</v>
          </cell>
          <cell r="I206">
            <v>1.2994863865248261</v>
          </cell>
          <cell r="J206">
            <v>1.2994753572381414</v>
          </cell>
        </row>
        <row r="207">
          <cell r="A207" t="str">
            <v>BIO</v>
          </cell>
          <cell r="B207" t="str">
            <v>VAR_fin</v>
          </cell>
          <cell r="C207" t="str">
            <v>D-CBIO</v>
          </cell>
          <cell r="E207">
            <v>1.2890763427304988</v>
          </cell>
          <cell r="F207">
            <v>3.9920635717605202</v>
          </cell>
          <cell r="G207">
            <v>3.0848088056840735</v>
          </cell>
          <cell r="H207">
            <v>3.0846563098316877</v>
          </cell>
          <cell r="I207">
            <v>3.0851332097429731</v>
          </cell>
          <cell r="J207">
            <v>3.4828462860280633</v>
          </cell>
        </row>
        <row r="208">
          <cell r="A208" t="str">
            <v>BIO</v>
          </cell>
          <cell r="B208" t="str">
            <v>VAR_fin</v>
          </cell>
          <cell r="C208" t="str">
            <v>D-SBIO</v>
          </cell>
          <cell r="E208">
            <v>4.0476852414126991</v>
          </cell>
          <cell r="F208">
            <v>4.5833316072411998</v>
          </cell>
          <cell r="G208">
            <v>3.0417637181646247</v>
          </cell>
          <cell r="H208">
            <v>3.0320897198442722</v>
          </cell>
          <cell r="I208">
            <v>2.9496715730923984</v>
          </cell>
          <cell r="J208">
            <v>2.8713449196002001</v>
          </cell>
        </row>
        <row r="209">
          <cell r="A209" t="str">
            <v>TKERintl_SAF</v>
          </cell>
          <cell r="B209" t="str">
            <v>VAR_fout</v>
          </cell>
          <cell r="C209" t="str">
            <v>D-TBDS1intl</v>
          </cell>
          <cell r="H209">
            <v>5.0489467091086597</v>
          </cell>
          <cell r="I209">
            <v>26.920996451433101</v>
          </cell>
          <cell r="J209">
            <v>75.588521106828296</v>
          </cell>
        </row>
        <row r="210">
          <cell r="A210" t="str">
            <v>EBIO</v>
          </cell>
          <cell r="B210" t="str">
            <v>VAR_fout</v>
          </cell>
          <cell r="C210" t="str">
            <v>D-EBIO</v>
          </cell>
          <cell r="E210">
            <v>1.1839727961330333</v>
          </cell>
          <cell r="F210">
            <v>1.1839518197429977</v>
          </cell>
          <cell r="G210">
            <v>1.1839527128335365</v>
          </cell>
          <cell r="H210">
            <v>1.1839533543253378</v>
          </cell>
          <cell r="I210">
            <v>1.2994863865248261</v>
          </cell>
          <cell r="J210">
            <v>1.2994753572381414</v>
          </cell>
        </row>
        <row r="211">
          <cell r="A211" t="str">
            <v>PLT</v>
          </cell>
          <cell r="B211" t="str">
            <v>VAR_fout</v>
          </cell>
          <cell r="C211" t="str">
            <v>CT_CWODPLT</v>
          </cell>
          <cell r="E211">
            <v>5.97967768507658</v>
          </cell>
          <cell r="F211">
            <v>6.9696721974921747</v>
          </cell>
          <cell r="G211">
            <v>5.8450337154074363</v>
          </cell>
          <cell r="H211">
            <v>6.5147704457003224</v>
          </cell>
          <cell r="I211">
            <v>6.9020322085003114</v>
          </cell>
          <cell r="J211">
            <v>6.4560953608746781</v>
          </cell>
        </row>
        <row r="212">
          <cell r="A212" t="str">
            <v>SLFO</v>
          </cell>
          <cell r="B212" t="str">
            <v>VAR_fout</v>
          </cell>
          <cell r="C212" t="str">
            <v>D-SLFO</v>
          </cell>
          <cell r="E212">
            <v>30.256636334867888</v>
          </cell>
          <cell r="F212">
            <v>26.783927724145961</v>
          </cell>
          <cell r="G212">
            <v>24.476735960270798</v>
          </cell>
          <cell r="H212">
            <v>12.753616868087873</v>
          </cell>
          <cell r="I212">
            <v>3.3738708703808893</v>
          </cell>
          <cell r="J212">
            <v>8.4976441279224532E-2</v>
          </cell>
        </row>
        <row r="213">
          <cell r="A213" t="str">
            <v>ETH</v>
          </cell>
          <cell r="B213" t="str">
            <v>VAR_fout</v>
          </cell>
          <cell r="C213" t="str">
            <v>IMPETH</v>
          </cell>
          <cell r="E213">
            <v>4.4341520509228616</v>
          </cell>
          <cell r="F213">
            <v>4.3927188767776588</v>
          </cell>
          <cell r="G213">
            <v>3.9676423386040431</v>
          </cell>
          <cell r="H213">
            <v>2.5059826376859955</v>
          </cell>
          <cell r="I213">
            <v>3.3920398697417538</v>
          </cell>
          <cell r="J213">
            <v>0.91706411882031358</v>
          </cell>
        </row>
        <row r="214">
          <cell r="A214" t="str">
            <v>ETH</v>
          </cell>
          <cell r="B214" t="str">
            <v>VAR_fout</v>
          </cell>
          <cell r="C214" t="str">
            <v>CT_CWODETHCCS</v>
          </cell>
          <cell r="I214">
            <v>3.8292211749945302E-5</v>
          </cell>
          <cell r="J214">
            <v>5.1531748156416687E-5</v>
          </cell>
        </row>
        <row r="215">
          <cell r="A215" t="str">
            <v>ETH</v>
          </cell>
          <cell r="B215" t="str">
            <v>VAR_fout</v>
          </cell>
          <cell r="C215" t="str">
            <v>CT_CWODETH</v>
          </cell>
          <cell r="E215">
            <v>0.19138145545463628</v>
          </cell>
          <cell r="F215">
            <v>2.2578558466633577E-5</v>
          </cell>
          <cell r="G215">
            <v>0.19158190060313723</v>
          </cell>
          <cell r="H215">
            <v>2.6975007774322861E-5</v>
          </cell>
          <cell r="I215">
            <v>5.8319732389589752E-5</v>
          </cell>
          <cell r="J215">
            <v>4.3216986988502565E-5</v>
          </cell>
        </row>
        <row r="216">
          <cell r="A216" t="str">
            <v>ETH</v>
          </cell>
          <cell r="B216" t="str">
            <v>VAR_fin</v>
          </cell>
          <cell r="C216" t="str">
            <v>D-TGSL</v>
          </cell>
          <cell r="E216">
            <v>4.6255335063774963</v>
          </cell>
          <cell r="F216">
            <v>4.3927414553361244</v>
          </cell>
          <cell r="G216">
            <v>4.1592242392071785</v>
          </cell>
          <cell r="H216">
            <v>2.5060096126937697</v>
          </cell>
          <cell r="I216">
            <v>3.3921364816858928</v>
          </cell>
          <cell r="J216">
            <v>0.91715886755545806</v>
          </cell>
        </row>
        <row r="217">
          <cell r="A217" t="str">
            <v>TGSL</v>
          </cell>
          <cell r="B217" t="str">
            <v>VAR_fout</v>
          </cell>
          <cell r="C217" t="str">
            <v>D-TGSL</v>
          </cell>
          <cell r="E217">
            <v>83.25719145746325</v>
          </cell>
          <cell r="F217">
            <v>79.064534674461768</v>
          </cell>
          <cell r="G217">
            <v>74.864108290059519</v>
          </cell>
          <cell r="H217">
            <v>45.082783718566127</v>
          </cell>
          <cell r="I217">
            <v>8.9272888651207101</v>
          </cell>
          <cell r="J217">
            <v>1.0631788911561093</v>
          </cell>
        </row>
        <row r="218">
          <cell r="A218" t="str">
            <v>RLFO</v>
          </cell>
          <cell r="B218" t="str">
            <v>VAR_fout</v>
          </cell>
          <cell r="C218" t="str">
            <v>D-RLFO</v>
          </cell>
          <cell r="E218">
            <v>60.231861136319175</v>
          </cell>
          <cell r="F218">
            <v>51.320044667971771</v>
          </cell>
          <cell r="G218">
            <v>47.953718932338866</v>
          </cell>
          <cell r="H218">
            <v>22.350393777852872</v>
          </cell>
          <cell r="I218">
            <v>4.6909194192838219</v>
          </cell>
          <cell r="J218">
            <v>0.1710554507793545</v>
          </cell>
        </row>
        <row r="219">
          <cell r="A219" t="str">
            <v>CELC_E</v>
          </cell>
          <cell r="B219" t="str">
            <v>VAR_fout</v>
          </cell>
          <cell r="C219" t="str">
            <v>ESOL-PV_E</v>
          </cell>
          <cell r="H219">
            <v>1.9873231057281272E-6</v>
          </cell>
          <cell r="I219">
            <v>1.1203295106877704</v>
          </cell>
          <cell r="J219">
            <v>1.4764495106845188</v>
          </cell>
        </row>
        <row r="220">
          <cell r="A220" t="str">
            <v>CELC_E</v>
          </cell>
          <cell r="B220" t="str">
            <v>VAR_fin</v>
          </cell>
          <cell r="C220" t="str">
            <v>SUP_ELCH2_D</v>
          </cell>
          <cell r="H220">
            <v>1.7091642560116391E-6</v>
          </cell>
          <cell r="I220">
            <v>1.1203295106877704</v>
          </cell>
          <cell r="J220">
            <v>1.4764495106845188</v>
          </cell>
        </row>
        <row r="221">
          <cell r="A221" t="str">
            <v>CBIO</v>
          </cell>
          <cell r="B221" t="str">
            <v>VAR_fout</v>
          </cell>
          <cell r="C221" t="str">
            <v>D-CBIO</v>
          </cell>
          <cell r="E221">
            <v>1.2890763427304988</v>
          </cell>
          <cell r="F221">
            <v>3.9920635717605202</v>
          </cell>
          <cell r="G221">
            <v>3.0848088056840735</v>
          </cell>
          <cell r="H221">
            <v>3.0846563098316877</v>
          </cell>
          <cell r="I221">
            <v>3.0851332097429731</v>
          </cell>
          <cell r="J221">
            <v>3.4828462860280633</v>
          </cell>
        </row>
        <row r="222">
          <cell r="A222" t="str">
            <v>CBIO</v>
          </cell>
          <cell r="B222" t="str">
            <v>VAR_fin</v>
          </cell>
          <cell r="C222" t="str">
            <v>SUP_BIONGA</v>
          </cell>
          <cell r="E222">
            <v>1.2890763427304988</v>
          </cell>
          <cell r="F222">
            <v>3.9920635717605202</v>
          </cell>
          <cell r="G222">
            <v>3.0848088056840735</v>
          </cell>
          <cell r="H222">
            <v>3.0846563098316877</v>
          </cell>
          <cell r="I222">
            <v>3.0851332097429731</v>
          </cell>
          <cell r="J222">
            <v>3.4828462860280633</v>
          </cell>
        </row>
        <row r="223">
          <cell r="A223" t="str">
            <v>RSH2</v>
          </cell>
          <cell r="B223" t="str">
            <v>VAR_fout</v>
          </cell>
          <cell r="C223" t="str">
            <v>D-SNGA</v>
          </cell>
          <cell r="H223">
            <v>4.047214161521926E-4</v>
          </cell>
          <cell r="I223">
            <v>1.3283401258805425E-2</v>
          </cell>
          <cell r="J223">
            <v>8.1901745349234386E-3</v>
          </cell>
        </row>
        <row r="224">
          <cell r="A224" t="str">
            <v>RSH2</v>
          </cell>
          <cell r="B224" t="str">
            <v>VAR_fout</v>
          </cell>
          <cell r="C224" t="str">
            <v>D-RNGA</v>
          </cell>
          <cell r="H224">
            <v>4.2648510760111535E-4</v>
          </cell>
          <cell r="I224">
            <v>3.5813788559750273E-2</v>
          </cell>
          <cell r="J224">
            <v>2.1918715131223961E-2</v>
          </cell>
        </row>
        <row r="225">
          <cell r="A225" t="str">
            <v>LTH</v>
          </cell>
          <cell r="B225" t="str">
            <v>VAR_fout</v>
          </cell>
          <cell r="C225" t="str">
            <v>SUP_WODBIO</v>
          </cell>
          <cell r="F225">
            <v>5.6428669085021445E-6</v>
          </cell>
          <cell r="G225">
            <v>8.8548700336870121E-6</v>
          </cell>
          <cell r="H225">
            <v>2.5316374071069967E-5</v>
          </cell>
          <cell r="I225">
            <v>2.4115178118059427E-5</v>
          </cell>
          <cell r="J225">
            <v>1.7835142223035569E-5</v>
          </cell>
        </row>
        <row r="226">
          <cell r="A226" t="str">
            <v>LTH</v>
          </cell>
          <cell r="B226" t="str">
            <v>VAR_fout</v>
          </cell>
          <cell r="C226" t="str">
            <v>SUP_WODBIOCCS</v>
          </cell>
          <cell r="I226">
            <v>2.3056496157624894E-5</v>
          </cell>
          <cell r="J226">
            <v>2.7550848590891663E-5</v>
          </cell>
        </row>
        <row r="227">
          <cell r="A227" t="str">
            <v>LTH</v>
          </cell>
          <cell r="B227" t="str">
            <v>VAR_fout</v>
          </cell>
          <cell r="C227" t="str">
            <v>CT_CWODBDS</v>
          </cell>
          <cell r="E227">
            <v>0.26568601400660719</v>
          </cell>
          <cell r="F227">
            <v>0.24853238585763265</v>
          </cell>
          <cell r="G227">
            <v>0.34444954765319225</v>
          </cell>
          <cell r="H227">
            <v>1.5493648397991225E-5</v>
          </cell>
          <cell r="I227">
            <v>4.5313189318860594E-5</v>
          </cell>
          <cell r="J227">
            <v>2.5842573829574977E-5</v>
          </cell>
        </row>
        <row r="228">
          <cell r="A228" t="str">
            <v>LTH</v>
          </cell>
          <cell r="B228" t="str">
            <v>VAR_fout</v>
          </cell>
          <cell r="C228" t="str">
            <v>CT_CWODBDSCCS</v>
          </cell>
          <cell r="I228">
            <v>2.1675409623816686E-5</v>
          </cell>
          <cell r="J228">
            <v>0.9707845508573909</v>
          </cell>
        </row>
        <row r="229">
          <cell r="A229" t="str">
            <v>LTH</v>
          </cell>
          <cell r="B229" t="str">
            <v>VAR_fin</v>
          </cell>
          <cell r="C229" t="str">
            <v>D-CHEAT</v>
          </cell>
          <cell r="I229">
            <v>7.7080518251946797E-5</v>
          </cell>
          <cell r="J229">
            <v>8.3016545865697796E-5</v>
          </cell>
        </row>
        <row r="230">
          <cell r="A230" t="str">
            <v>LNGA</v>
          </cell>
          <cell r="B230" t="str">
            <v>VAR_fin</v>
          </cell>
          <cell r="C230" t="str">
            <v>D-LNGA</v>
          </cell>
          <cell r="H230">
            <v>1.6300095020985389E-4</v>
          </cell>
          <cell r="I230">
            <v>2.4340802941740398E-4</v>
          </cell>
          <cell r="J230">
            <v>2.6551550450002934E-4</v>
          </cell>
        </row>
        <row r="231">
          <cell r="A231" t="str">
            <v>IH2</v>
          </cell>
          <cell r="B231" t="str">
            <v>VAR_fout</v>
          </cell>
          <cell r="C231" t="str">
            <v>D-INGA</v>
          </cell>
          <cell r="H231">
            <v>2.5832097161410536E-2</v>
          </cell>
          <cell r="I231">
            <v>0.22048455508477854</v>
          </cell>
          <cell r="J231">
            <v>0.14991582818302626</v>
          </cell>
        </row>
        <row r="232">
          <cell r="A232" t="str">
            <v>WHEAT</v>
          </cell>
          <cell r="B232" t="str">
            <v>VAR_fin</v>
          </cell>
          <cell r="C232" t="str">
            <v>D-CHEAT</v>
          </cell>
          <cell r="I232">
            <v>3.8475280459095493E-4</v>
          </cell>
          <cell r="J232">
            <v>2.2930081424163803E-4</v>
          </cell>
        </row>
        <row r="233">
          <cell r="A233" t="str">
            <v>SOL</v>
          </cell>
          <cell r="B233" t="str">
            <v>VAR_fin</v>
          </cell>
          <cell r="C233" t="str">
            <v>ESOL-PV_E</v>
          </cell>
          <cell r="H233">
            <v>1.9873231057281272E-6</v>
          </cell>
          <cell r="I233">
            <v>1.1203295106877704</v>
          </cell>
          <cell r="J233">
            <v>1.4764495106845188</v>
          </cell>
        </row>
        <row r="234">
          <cell r="A234" t="str">
            <v>TKER</v>
          </cell>
          <cell r="B234" t="str">
            <v>VAR_fout</v>
          </cell>
          <cell r="C234" t="str">
            <v>D-TBDS1</v>
          </cell>
          <cell r="E234">
            <v>6.5229070311191399E-4</v>
          </cell>
          <cell r="F234">
            <v>1.73997403571819E-5</v>
          </cell>
          <cell r="G234">
            <v>7.6438918959694099E-4</v>
          </cell>
          <cell r="H234">
            <v>4.9707178097992397E-2</v>
          </cell>
          <cell r="I234">
            <v>8.2462582162234595E-4</v>
          </cell>
          <cell r="J234">
            <v>1.6907850943770599</v>
          </cell>
        </row>
        <row r="235">
          <cell r="A235" t="str">
            <v>BDS1</v>
          </cell>
          <cell r="B235" t="str">
            <v>VAR_fout</v>
          </cell>
          <cell r="C235" t="str">
            <v>IMPBDS1</v>
          </cell>
          <cell r="H235">
            <v>5.0489467091086597</v>
          </cell>
          <cell r="I235">
            <v>26.920996451433101</v>
          </cell>
          <cell r="J235">
            <v>75.588521106828296</v>
          </cell>
        </row>
        <row r="236">
          <cell r="A236" t="str">
            <v>BDS1</v>
          </cell>
          <cell r="B236" t="str">
            <v>VAR_fin</v>
          </cell>
          <cell r="C236" t="str">
            <v>D-TBDS1intl</v>
          </cell>
          <cell r="H236">
            <v>5.0489467091086597</v>
          </cell>
          <cell r="I236">
            <v>26.920996451433101</v>
          </cell>
          <cell r="J236">
            <v>75.588521106828296</v>
          </cell>
        </row>
        <row r="237">
          <cell r="A237" t="str">
            <v>CELC</v>
          </cell>
          <cell r="B237" t="str">
            <v>VAR_fout</v>
          </cell>
          <cell r="C237" t="str">
            <v>D-CELC</v>
          </cell>
          <cell r="E237">
            <v>0.36610789671466032</v>
          </cell>
          <cell r="F237">
            <v>5.1623584955470959E-2</v>
          </cell>
          <cell r="G237">
            <v>0.38631425597173313</v>
          </cell>
          <cell r="H237">
            <v>4.3068210585302649E-2</v>
          </cell>
          <cell r="I237">
            <v>5.1335140307423872</v>
          </cell>
          <cell r="J237">
            <v>13.319985554354359</v>
          </cell>
        </row>
        <row r="238">
          <cell r="A238" t="str">
            <v>CELC</v>
          </cell>
          <cell r="B238" t="str">
            <v>VAR_fin</v>
          </cell>
          <cell r="C238" t="str">
            <v>SUP_H2NGA</v>
          </cell>
          <cell r="I238">
            <v>5.7214374431975539E-6</v>
          </cell>
          <cell r="J238">
            <v>3.3641439331276734E-6</v>
          </cell>
        </row>
        <row r="239">
          <cell r="A239" t="str">
            <v>CELC</v>
          </cell>
          <cell r="B239" t="str">
            <v>VAR_fin</v>
          </cell>
          <cell r="C239" t="str">
            <v>SUP_ELCH2_SOEC</v>
          </cell>
          <cell r="I239">
            <v>2.9825371867315139E-3</v>
          </cell>
          <cell r="J239">
            <v>2.1852682063745275E-3</v>
          </cell>
        </row>
        <row r="240">
          <cell r="A240" t="str">
            <v>CELC</v>
          </cell>
          <cell r="B240" t="str">
            <v>VAR_fin</v>
          </cell>
          <cell r="C240" t="str">
            <v>SUP_ELCH2</v>
          </cell>
          <cell r="E240">
            <v>4.8956995806995404E-3</v>
          </cell>
          <cell r="F240">
            <v>7.2967962626576928E-3</v>
          </cell>
          <cell r="G240">
            <v>1.0737263182852263E-2</v>
          </cell>
          <cell r="H240">
            <v>4.3021210524953578E-2</v>
          </cell>
          <cell r="I240">
            <v>5.130330568080816</v>
          </cell>
          <cell r="J240">
            <v>12.996320707345161</v>
          </cell>
        </row>
        <row r="241">
          <cell r="A241" t="str">
            <v>CELC</v>
          </cell>
          <cell r="B241" t="str">
            <v>VAR_fin</v>
          </cell>
          <cell r="C241" t="str">
            <v>CT_CWODBDS</v>
          </cell>
          <cell r="E241">
            <v>4.7346610188357022E-2</v>
          </cell>
          <cell r="F241">
            <v>4.4289745684885848E-2</v>
          </cell>
          <cell r="G241">
            <v>6.1382675799735636E-2</v>
          </cell>
          <cell r="H241">
            <v>2.7610475991292093E-6</v>
          </cell>
          <cell r="I241">
            <v>8.0750427119508057E-6</v>
          </cell>
          <cell r="J241">
            <v>4.6052791824499073E-6</v>
          </cell>
        </row>
        <row r="242">
          <cell r="A242" t="str">
            <v>CELC</v>
          </cell>
          <cell r="B242" t="str">
            <v>VAR_fin</v>
          </cell>
          <cell r="C242" t="str">
            <v>CT_CWODETHCCS</v>
          </cell>
          <cell r="I242">
            <v>8.0413644674885162E-5</v>
          </cell>
          <cell r="J242">
            <v>1.0821667112847505E-4</v>
          </cell>
        </row>
        <row r="243">
          <cell r="A243" t="str">
            <v>CELC</v>
          </cell>
          <cell r="B243" t="str">
            <v>VAR_fin</v>
          </cell>
          <cell r="C243" t="str">
            <v>CT_CWODETH</v>
          </cell>
          <cell r="E243">
            <v>0.31386558694560357</v>
          </cell>
          <cell r="F243">
            <v>3.7028835885279049E-5</v>
          </cell>
          <cell r="G243">
            <v>0.31419431698914507</v>
          </cell>
          <cell r="H243">
            <v>4.423901274988945E-5</v>
          </cell>
          <cell r="I243">
            <v>9.5644361118927168E-5</v>
          </cell>
          <cell r="J243">
            <v>7.0875858661144278E-5</v>
          </cell>
        </row>
        <row r="244">
          <cell r="A244" t="str">
            <v>CELC</v>
          </cell>
          <cell r="B244" t="str">
            <v>VAR_fin</v>
          </cell>
          <cell r="C244" t="str">
            <v>SUP_DAC</v>
          </cell>
          <cell r="I244">
            <v>3.8974604660985768E-6</v>
          </cell>
          <cell r="J244">
            <v>9.0583518809121955E-6</v>
          </cell>
        </row>
        <row r="245">
          <cell r="A245" t="str">
            <v>CELC</v>
          </cell>
          <cell r="B245" t="str">
            <v>VAR_fin</v>
          </cell>
          <cell r="C245" t="str">
            <v>CT_CWODBDSCCS</v>
          </cell>
          <cell r="I245">
            <v>7.1735284231202942E-6</v>
          </cell>
          <cell r="J245">
            <v>0.32128345849804185</v>
          </cell>
        </row>
        <row r="246">
          <cell r="A246" t="str">
            <v>SBIO</v>
          </cell>
          <cell r="B246" t="str">
            <v>VAR_fout</v>
          </cell>
          <cell r="C246" t="str">
            <v>D-SBIO</v>
          </cell>
          <cell r="E246">
            <v>4.0476852414126991</v>
          </cell>
          <cell r="F246">
            <v>4.5833316072411998</v>
          </cell>
          <cell r="G246">
            <v>3.0417637181646247</v>
          </cell>
          <cell r="H246">
            <v>3.0320897198442722</v>
          </cell>
          <cell r="I246">
            <v>2.9496715730923984</v>
          </cell>
          <cell r="J246">
            <v>2.8713449196002001</v>
          </cell>
        </row>
        <row r="247">
          <cell r="A247" t="str">
            <v>INGA</v>
          </cell>
          <cell r="B247" t="str">
            <v>VAR_fout</v>
          </cell>
          <cell r="C247" t="str">
            <v>D-INGA</v>
          </cell>
          <cell r="E247">
            <v>37.470446222307181</v>
          </cell>
          <cell r="F247">
            <v>30.262670621591631</v>
          </cell>
          <cell r="G247">
            <v>34.885870011250127</v>
          </cell>
          <cell r="H247">
            <v>25.434386386653909</v>
          </cell>
          <cell r="I247">
            <v>16.436219199804317</v>
          </cell>
          <cell r="J247">
            <v>4.8453715497322438</v>
          </cell>
        </row>
        <row r="248">
          <cell r="A248" t="str">
            <v>DSL</v>
          </cell>
          <cell r="B248" t="str">
            <v>VAR_fout</v>
          </cell>
          <cell r="C248" t="str">
            <v>SUP_H2DSL</v>
          </cell>
          <cell r="I248">
            <v>0.60614917927701251</v>
          </cell>
          <cell r="J248">
            <v>3.2694693154076068E-2</v>
          </cell>
        </row>
        <row r="249">
          <cell r="A249" t="str">
            <v>WSTREN</v>
          </cell>
          <cell r="B249" t="str">
            <v>VAR_fin</v>
          </cell>
          <cell r="C249" t="str">
            <v>D-CWST</v>
          </cell>
          <cell r="E249">
            <v>9.6793787784086582</v>
          </cell>
          <cell r="F249">
            <v>10.726191306078787</v>
          </cell>
          <cell r="G249">
            <v>10.366536979672023</v>
          </cell>
          <cell r="H249">
            <v>11.900419525913108</v>
          </cell>
          <cell r="I249">
            <v>11.603185040926284</v>
          </cell>
          <cell r="J249">
            <v>10.800943515684983</v>
          </cell>
        </row>
        <row r="250">
          <cell r="A250" t="str">
            <v>SOLPVC</v>
          </cell>
          <cell r="B250" t="str">
            <v>VAR_fin</v>
          </cell>
          <cell r="C250" t="str">
            <v>ESOL-PV_E</v>
          </cell>
          <cell r="H250">
            <v>1.9873231057281301E-6</v>
          </cell>
          <cell r="I250">
            <v>1.12032951068777</v>
          </cell>
          <cell r="J250">
            <v>1.4764495106845199</v>
          </cell>
        </row>
        <row r="251">
          <cell r="A251" t="str">
            <v>KERintl</v>
          </cell>
          <cell r="B251" t="str">
            <v>VAR_fout</v>
          </cell>
          <cell r="C251" t="str">
            <v>SUP_H2DSL</v>
          </cell>
          <cell r="I251">
            <v>0.18383627322718399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2040</v>
          </cell>
          <cell r="I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1.78491853703832E-2</v>
          </cell>
          <cell r="E4">
            <v>1.7895355962830799E-2</v>
          </cell>
          <cell r="F4">
            <v>1.7834773034820998E-2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4.4207370826190038E-3</v>
          </cell>
          <cell r="E5">
            <v>3.5495616479513737E-3</v>
          </cell>
          <cell r="F5">
            <v>2.2181110761957E-3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3.1647491791459613E-4</v>
          </cell>
          <cell r="E6">
            <v>3.1729354544026144E-4</v>
          </cell>
          <cell r="F6">
            <v>3.1621938005001757E-4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3.5274956389141203</v>
          </cell>
          <cell r="E8">
            <v>0.17469886535554291</v>
          </cell>
          <cell r="F8">
            <v>0.23098263295638072</v>
          </cell>
          <cell r="G8">
            <v>0.22160414191379091</v>
          </cell>
          <cell r="H8">
            <v>0.20248739364101451</v>
          </cell>
          <cell r="I8">
            <v>1.5020062571998199E-2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6.4560458841064735E-3</v>
          </cell>
          <cell r="E9">
            <v>3.2113665165678677E-4</v>
          </cell>
          <cell r="F9">
            <v>4.2582483851645874E-4</v>
          </cell>
          <cell r="G9">
            <v>4.3130925085880769E-4</v>
          </cell>
          <cell r="H9">
            <v>4.2507681199636558E-4</v>
          </cell>
          <cell r="I9">
            <v>3.2236857948418812E-5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6.2544248916917011E-2</v>
          </cell>
          <cell r="E10">
            <v>3.0974976126869314E-3</v>
          </cell>
          <cell r="F10">
            <v>4.095436754545748E-3</v>
          </cell>
          <cell r="G10">
            <v>3.9291514523721845E-3</v>
          </cell>
          <cell r="H10">
            <v>3.5902020149116069E-3</v>
          </cell>
          <cell r="I10">
            <v>2.6631316617018092E-4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2.6175858196367603E-7</v>
          </cell>
          <cell r="F11">
            <v>6.1120630038125499E-7</v>
          </cell>
          <cell r="G11">
            <v>6.1865748670133202E-6</v>
          </cell>
          <cell r="H11">
            <v>3.8366985798935504E-6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1.2193770840507333E-4</v>
          </cell>
          <cell r="E12">
            <v>8.2002750170146778E-6</v>
          </cell>
          <cell r="F12">
            <v>8.2130376002843337E-6</v>
          </cell>
          <cell r="G12">
            <v>8.2227392717648596E-6</v>
          </cell>
          <cell r="H12">
            <v>8.2398504252891209E-6</v>
          </cell>
          <cell r="I12">
            <v>6.7329700176963902E-7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2.1281172572090945E-4</v>
          </cell>
          <cell r="E13">
            <v>5.190094698573135E-4</v>
          </cell>
          <cell r="F13">
            <v>6.2010877475612142E-4</v>
          </cell>
          <cell r="G13">
            <v>7.4415502930268358E-4</v>
          </cell>
          <cell r="H13">
            <v>4.0858913211604467E-4</v>
          </cell>
          <cell r="I13">
            <v>8.4156394192299406E-5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2.1281172572090945E-4</v>
          </cell>
          <cell r="E14">
            <v>5.190094698573135E-4</v>
          </cell>
          <cell r="F14">
            <v>6.2010877475612142E-4</v>
          </cell>
          <cell r="G14">
            <v>7.4415502930268358E-4</v>
          </cell>
          <cell r="H14">
            <v>4.0858913211604467E-4</v>
          </cell>
          <cell r="I14">
            <v>8.4156394192299406E-5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3.2073146587557003E-5</v>
          </cell>
          <cell r="F15">
            <v>3.5122318062068098E-5</v>
          </cell>
          <cell r="G15">
            <v>3.9002831781393603E-5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2.5984335123216108E-5</v>
          </cell>
          <cell r="E16">
            <v>5.75068646692323E-5</v>
          </cell>
          <cell r="F16">
            <v>9.0016091810225275E-5</v>
          </cell>
          <cell r="G16">
            <v>1.101239568248167E-4</v>
          </cell>
          <cell r="H16">
            <v>6.0153769484946395E-5</v>
          </cell>
          <cell r="I16">
            <v>1.2390423941906082E-5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2.5756610907651323E-3</v>
          </cell>
          <cell r="E17">
            <v>5.883667487684735E-3</v>
          </cell>
          <cell r="F17">
            <v>5.8057001772700177E-3</v>
          </cell>
          <cell r="G17">
            <v>1.5331090741417474E-3</v>
          </cell>
          <cell r="H17">
            <v>0.77502694676236583</v>
          </cell>
          <cell r="I17">
            <v>2.6385405974125153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9.5846482359736532E-3</v>
          </cell>
          <cell r="E18">
            <v>2.1783841360506064E-2</v>
          </cell>
          <cell r="F18">
            <v>2.1453187718231619E-2</v>
          </cell>
          <cell r="G18">
            <v>5.5934967504789775E-3</v>
          </cell>
          <cell r="H18">
            <v>2.4705966905085681</v>
          </cell>
          <cell r="I18">
            <v>7.7881406173250953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1.71338793649087E-6</v>
          </cell>
          <cell r="F19">
            <v>5.0243224815489299E-6</v>
          </cell>
          <cell r="G19">
            <v>3.1524141537080599E-6</v>
          </cell>
          <cell r="H19">
            <v>1.05998597805376E-2</v>
          </cell>
          <cell r="I19">
            <v>4.9299428231884698E-2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4.9044136313187029E-5</v>
          </cell>
          <cell r="E20">
            <v>1.1076807868396381E-4</v>
          </cell>
          <cell r="F20">
            <v>1.1019056453875258E-4</v>
          </cell>
          <cell r="G20">
            <v>2.9557447252548018E-5</v>
          </cell>
          <cell r="H20">
            <v>1.6302225379883802E-2</v>
          </cell>
          <cell r="I20">
            <v>5.1159583169991099E-2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4.9489739334477839E-2</v>
          </cell>
          <cell r="E21">
            <v>9.8652059702889719E-2</v>
          </cell>
          <cell r="F21">
            <v>7.0716290813746072E-2</v>
          </cell>
          <cell r="G21">
            <v>7.9217433494703199E-2</v>
          </cell>
          <cell r="H21">
            <v>1.3982719516259787E-3</v>
          </cell>
          <cell r="I21">
            <v>2.3359034915036164E-4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4.9489739334477839E-2</v>
          </cell>
          <cell r="E22">
            <v>9.8652059702889719E-2</v>
          </cell>
          <cell r="F22">
            <v>7.0716290813746072E-2</v>
          </cell>
          <cell r="G22">
            <v>7.9217433494703199E-2</v>
          </cell>
          <cell r="H22">
            <v>1.3982719516259787E-3</v>
          </cell>
          <cell r="I22">
            <v>2.3359034915036164E-4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1.61656430913918E-5</v>
          </cell>
          <cell r="F23">
            <v>5.6099094552313298E-5</v>
          </cell>
          <cell r="G23">
            <v>1.32452921915982E-4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4.8855975919278819E-3</v>
          </cell>
          <cell r="E24">
            <v>7.4851358709597327E-3</v>
          </cell>
          <cell r="F24">
            <v>7.2648572935419447E-3</v>
          </cell>
          <cell r="G24">
            <v>6.0317326051604978E-3</v>
          </cell>
          <cell r="H24">
            <v>1.3550663254156394E-4</v>
          </cell>
          <cell r="I24">
            <v>2.3470487096589999E-5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10.90956240440503</v>
          </cell>
          <cell r="E25">
            <v>12.318761996804175</v>
          </cell>
          <cell r="F25">
            <v>15.483400730018513</v>
          </cell>
          <cell r="G25">
            <v>33.359654277623981</v>
          </cell>
          <cell r="H25">
            <v>62.092265043957916</v>
          </cell>
          <cell r="I25">
            <v>70.420637602593985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F26">
            <v>1.2071727037001E-5</v>
          </cell>
          <cell r="G26">
            <v>8.9812509867075298E-6</v>
          </cell>
          <cell r="H26">
            <v>0.53790300037162597</v>
          </cell>
          <cell r="I26">
            <v>3.4359212770636298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2.2767326072288857E-3</v>
          </cell>
          <cell r="E27">
            <v>8.8498216472405729E-4</v>
          </cell>
          <cell r="F27">
            <v>9.9034748477690735E-4</v>
          </cell>
          <cell r="G27">
            <v>0.12931557364541671</v>
          </cell>
          <cell r="H27">
            <v>3.7323232224133367</v>
          </cell>
          <cell r="I27">
            <v>9.1930376861157281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1.9022623946140913</v>
          </cell>
          <cell r="E28">
            <v>7.7003954193540447E-2</v>
          </cell>
          <cell r="F28">
            <v>0.3329263542625519</v>
          </cell>
          <cell r="G28">
            <v>5.1888975282253442</v>
          </cell>
          <cell r="H28">
            <v>21.296424500600811</v>
          </cell>
          <cell r="I28">
            <v>22.321238179489551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1.3531599278338609</v>
          </cell>
          <cell r="E29">
            <v>5.9378119020561886E-2</v>
          </cell>
          <cell r="F29">
            <v>0.19381476629197125</v>
          </cell>
          <cell r="G29">
            <v>2.3422791425881364</v>
          </cell>
          <cell r="H29">
            <v>11.178349291695046</v>
          </cell>
          <cell r="I29">
            <v>17.39470405848661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7.65186334934985</v>
          </cell>
          <cell r="E30">
            <v>12.181508173540996</v>
          </cell>
          <cell r="F30">
            <v>14.955699321432686</v>
          </cell>
          <cell r="G30">
            <v>25.699184702186841</v>
          </cell>
          <cell r="H30">
            <v>26.423080282392</v>
          </cell>
          <cell r="I30">
            <v>24.947598152494141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4.7879211314256299E-2</v>
          </cell>
          <cell r="E31">
            <v>0.67647122175003815</v>
          </cell>
          <cell r="F31">
            <v>1.2044321703958363</v>
          </cell>
          <cell r="G31">
            <v>5.2979705777054606</v>
          </cell>
          <cell r="H31">
            <v>6.9809705683702523</v>
          </cell>
          <cell r="I31">
            <v>1.5109799791424157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4.7879211314256299E-2</v>
          </cell>
          <cell r="E32">
            <v>0.67647122175003815</v>
          </cell>
          <cell r="F32">
            <v>1.2044321703958363</v>
          </cell>
          <cell r="G32">
            <v>5.2979705777054606</v>
          </cell>
          <cell r="H32">
            <v>6.9809705683702523</v>
          </cell>
          <cell r="I32">
            <v>1.5109799791424157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3.6395574038423598E-2</v>
          </cell>
          <cell r="F33">
            <v>3.9438643091164599E-2</v>
          </cell>
          <cell r="G33">
            <v>0.31109347487466199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4.0683517709739188E-3</v>
          </cell>
          <cell r="E34">
            <v>4.6514228916282499E-2</v>
          </cell>
          <cell r="F34">
            <v>8.282318112838781E-2</v>
          </cell>
          <cell r="G34">
            <v>0.36428081414925756</v>
          </cell>
          <cell r="H34">
            <v>0.48000098228433469</v>
          </cell>
          <cell r="I34">
            <v>0.104780462670263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1.2629890009575559E-5</v>
          </cell>
          <cell r="E35">
            <v>3.0740199830406296E-4</v>
          </cell>
          <cell r="F35">
            <v>4.6566928116686501E-4</v>
          </cell>
          <cell r="G35">
            <v>6.4322433828405481E-4</v>
          </cell>
          <cell r="H35">
            <v>4.139146740708538E-4</v>
          </cell>
          <cell r="I35">
            <v>8.4503256733212801E-5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1.2629890009575559E-5</v>
          </cell>
          <cell r="E36">
            <v>3.0740199830406296E-4</v>
          </cell>
          <cell r="F36">
            <v>4.6566928116686501E-4</v>
          </cell>
          <cell r="G36">
            <v>6.4322433828405481E-4</v>
          </cell>
          <cell r="H36">
            <v>4.139146740708538E-4</v>
          </cell>
          <cell r="I36">
            <v>8.4503256733212801E-5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3.2726096715188102E-5</v>
          </cell>
          <cell r="F37">
            <v>3.6789837075455998E-5</v>
          </cell>
          <cell r="G37">
            <v>4.0243813235242501E-5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3.3810409250662496E-5</v>
          </cell>
          <cell r="F38">
            <v>6.8248942168896477E-5</v>
          </cell>
          <cell r="G38">
            <v>9.5828300139301099E-5</v>
          </cell>
          <cell r="H38">
            <v>6.0961956076643061E-5</v>
          </cell>
          <cell r="I38">
            <v>1.2447166705555938E-5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8.9927544520183408E-2</v>
          </cell>
          <cell r="E39">
            <v>0.15937862786884952</v>
          </cell>
          <cell r="F39">
            <v>0.15330524554412792</v>
          </cell>
          <cell r="G39">
            <v>0.12829351877486886</v>
          </cell>
          <cell r="H39">
            <v>3.7321703046010474E-3</v>
          </cell>
          <cell r="I39">
            <v>3.6099743663255579E-4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8.9927544520183408E-2</v>
          </cell>
          <cell r="E40">
            <v>0.15937862786884952</v>
          </cell>
          <cell r="F40">
            <v>0.15330524554412792</v>
          </cell>
          <cell r="G40">
            <v>0.12829351877486886</v>
          </cell>
          <cell r="H40">
            <v>3.7321703046010474E-3</v>
          </cell>
          <cell r="I40">
            <v>3.6099743663255579E-4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9.5663085686241504E-5</v>
          </cell>
          <cell r="F41">
            <v>8.7472052835567605E-5</v>
          </cell>
          <cell r="G41">
            <v>4.5972283877265802E-4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7.2622996557830987E-3</v>
          </cell>
          <cell r="E42">
            <v>1.2552988075854822E-2</v>
          </cell>
          <cell r="F42">
            <v>1.2117529488207948E-2</v>
          </cell>
          <cell r="G42">
            <v>1.0123905637004122E-2</v>
          </cell>
          <cell r="H42">
            <v>3.0979637751788695E-4</v>
          </cell>
          <cell r="I42">
            <v>3.7041074623790301E-5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3.5302324688871608E-6</v>
          </cell>
          <cell r="E43">
            <v>2.6620790425021482E-4</v>
          </cell>
          <cell r="F43">
            <v>1.0473534689622284E-3</v>
          </cell>
          <cell r="G43">
            <v>3.1236396815567517E-3</v>
          </cell>
          <cell r="H43">
            <v>1.6170850252465758E-3</v>
          </cell>
          <cell r="I43">
            <v>2.3995718662179523E-4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3.5302324688871608E-6</v>
          </cell>
          <cell r="E44">
            <v>2.6620790425021482E-4</v>
          </cell>
          <cell r="F44">
            <v>1.0473534689622284E-3</v>
          </cell>
          <cell r="G44">
            <v>3.1236396815567517E-3</v>
          </cell>
          <cell r="H44">
            <v>1.6170850252465758E-3</v>
          </cell>
          <cell r="I44">
            <v>2.3995718662179523E-4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2.03700890494057E-5</v>
          </cell>
          <cell r="F45">
            <v>6.9597363059939905E-5</v>
          </cell>
          <cell r="G45">
            <v>1.8330912893078501E-4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2.0349212561205363E-5</v>
          </cell>
          <cell r="F46">
            <v>8.7852187291651425E-5</v>
          </cell>
          <cell r="G46">
            <v>2.4956648194107429E-4</v>
          </cell>
          <cell r="H46">
            <v>1.5851766782556929E-4</v>
          </cell>
          <cell r="I46">
            <v>2.41748094838206E-5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0.24502340395851863</v>
          </cell>
          <cell r="I47">
            <v>0.26339849883812039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9.7092334937384894</v>
          </cell>
          <cell r="I48">
            <v>10.452486086380047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4.4020007679420402E-5</v>
          </cell>
          <cell r="E49">
            <v>5.4052852380890402E-5</v>
          </cell>
          <cell r="F49">
            <v>8.1081156342481596E-5</v>
          </cell>
          <cell r="G49">
            <v>1.35134038464592E-4</v>
          </cell>
          <cell r="H49">
            <v>1.33436347168917E-4</v>
          </cell>
          <cell r="I49">
            <v>1.28033097154044E-3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2.0938225055446005E-3</v>
          </cell>
          <cell r="E50">
            <v>2.1478753579254909E-3</v>
          </cell>
          <cell r="F50">
            <v>2.2289565142679731E-3</v>
          </cell>
          <cell r="G50">
            <v>2.3640905527325638E-3</v>
          </cell>
          <cell r="H50">
            <v>2.6309679416750931E-3</v>
          </cell>
          <cell r="I50">
            <v>2.8282638252150102E-3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5.7953462838287626E-5</v>
          </cell>
          <cell r="E51">
            <v>2.4128851556268318E-3</v>
          </cell>
          <cell r="F51">
            <v>0.98583135819765999</v>
          </cell>
          <cell r="G51">
            <v>3.8187362822937625</v>
          </cell>
          <cell r="H51">
            <v>4.9955600635290169</v>
          </cell>
          <cell r="I51">
            <v>1.054346936282321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5.7953462838287626E-5</v>
          </cell>
          <cell r="E52">
            <v>2.4128851556268318E-3</v>
          </cell>
          <cell r="F52">
            <v>0.98583135819765999</v>
          </cell>
          <cell r="G52">
            <v>3.8187362822937625</v>
          </cell>
          <cell r="H52">
            <v>4.9955600635290169</v>
          </cell>
          <cell r="I52">
            <v>1.054346936282321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1.64415192809309E-4</v>
          </cell>
          <cell r="F53">
            <v>6.8541460432422693E-2</v>
          </cell>
          <cell r="G53">
            <v>0.21408965283849199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1.6625170353690689E-4</v>
          </cell>
          <cell r="F54">
            <v>6.7785819347114779E-2</v>
          </cell>
          <cell r="G54">
            <v>0.26256797575319518</v>
          </cell>
          <cell r="H54">
            <v>0.34349128947564522</v>
          </cell>
          <cell r="I54">
            <v>7.4952729639360005E-2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3.050877601699161E-3</v>
          </cell>
          <cell r="E55">
            <v>9.4962512530386706E-3</v>
          </cell>
          <cell r="F55">
            <v>1.0054377622969683E-2</v>
          </cell>
          <cell r="G55">
            <v>2.0469165967896791E-2</v>
          </cell>
          <cell r="H55">
            <v>6.4046156809529067E-3</v>
          </cell>
          <cell r="I55">
            <v>3.6412399512745738E-4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3.050877601699161E-3</v>
          </cell>
          <cell r="E56">
            <v>9.4962512530386706E-3</v>
          </cell>
          <cell r="F56">
            <v>1.0054377622969683E-2</v>
          </cell>
          <cell r="G56">
            <v>2.0469165967896791E-2</v>
          </cell>
          <cell r="H56">
            <v>6.4046156809529067E-3</v>
          </cell>
          <cell r="I56">
            <v>3.6412399512745738E-4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7.0823336981981202E-5</v>
          </cell>
          <cell r="F57">
            <v>9.7799015175884302E-5</v>
          </cell>
          <cell r="G57">
            <v>1.03762064596019E-3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2.5889822011776405E-4</v>
          </cell>
          <cell r="E58">
            <v>7.4994755284737828E-4</v>
          </cell>
          <cell r="F58">
            <v>8.1502007142211601E-4</v>
          </cell>
          <cell r="G58">
            <v>1.6255366644502339E-3</v>
          </cell>
          <cell r="H58">
            <v>5.3367713123736395E-4</v>
          </cell>
          <cell r="I58">
            <v>3.7524353422141401E-5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1.1098992231072361E-6</v>
          </cell>
          <cell r="H59">
            <v>4.3332485816975804E-8</v>
          </cell>
          <cell r="I59">
            <v>3.0128719533890999E-8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4.7350293566364688E-6</v>
          </cell>
          <cell r="H60">
            <v>1.6113441648736819E-7</v>
          </cell>
          <cell r="I60">
            <v>9.9290222572173901E-8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3.5884030317278698E-8</v>
          </cell>
          <cell r="H61">
            <v>1.5981317927897801E-8</v>
          </cell>
          <cell r="I61">
            <v>1.27071234089904E-8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3.5884030317278698E-8</v>
          </cell>
          <cell r="H62">
            <v>3.9715128283523603E-8</v>
          </cell>
          <cell r="I62">
            <v>2.3771473725044199E-8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2.1352260783868583E-4</v>
          </cell>
          <cell r="E63">
            <v>4.6663333089585113E-4</v>
          </cell>
          <cell r="F63">
            <v>5.435501166623746E-4</v>
          </cell>
          <cell r="G63">
            <v>5.9711144896302658E-4</v>
          </cell>
          <cell r="H63">
            <v>2.8091831942398098E-4</v>
          </cell>
          <cell r="I63">
            <v>4.2267599229027964E-5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2.2079587006174899E-2</v>
          </cell>
          <cell r="E64">
            <v>4.8252835302948299E-2</v>
          </cell>
          <cell r="F64">
            <v>5.6206517026666902E-2</v>
          </cell>
          <cell r="G64">
            <v>6.1745097267276908E-2</v>
          </cell>
          <cell r="H64">
            <v>2.8138624062332168E-2</v>
          </cell>
          <cell r="I64">
            <v>4.0142106515201597E-3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2.9918139574762676E-4</v>
          </cell>
          <cell r="E65">
            <v>6.5383245667951595E-4</v>
          </cell>
          <cell r="F65">
            <v>7.6160592177055327E-4</v>
          </cell>
          <cell r="G65">
            <v>8.3665443451594822E-4</v>
          </cell>
          <cell r="H65">
            <v>3.8128216886628975E-4</v>
          </cell>
          <cell r="I65">
            <v>5.4393098259080769E-5</v>
          </cell>
        </row>
        <row r="66">
          <cell r="A66" t="str">
            <v>T_B_u-FCLH2O-S2</v>
          </cell>
          <cell r="B66" t="str">
            <v>VAR_ncap</v>
          </cell>
          <cell r="C66" t="str">
            <v>-</v>
          </cell>
          <cell r="G66">
            <v>1.1180950372993101E-8</v>
          </cell>
        </row>
        <row r="67">
          <cell r="A67" t="str">
            <v>T_B_u-FCLH2O-S2</v>
          </cell>
          <cell r="B67" t="str">
            <v>VAR_cap</v>
          </cell>
          <cell r="C67" t="str">
            <v>-</v>
          </cell>
          <cell r="G67">
            <v>1.1180950372993101E-8</v>
          </cell>
          <cell r="H67">
            <v>1.98039143395112E-9</v>
          </cell>
        </row>
        <row r="68">
          <cell r="A68" t="str">
            <v>T-Plg-GSL-mix_S2</v>
          </cell>
          <cell r="B68" t="str">
            <v>VAR_fout</v>
          </cell>
          <cell r="C68" t="str">
            <v>CO2_T</v>
          </cell>
          <cell r="D68">
            <v>6.1284376163136898</v>
          </cell>
          <cell r="E68">
            <v>11.04462885721429</v>
          </cell>
          <cell r="F68">
            <v>8.5800008260974394</v>
          </cell>
          <cell r="G68">
            <v>9.7718368600366503</v>
          </cell>
          <cell r="H68">
            <v>0.1123837065157461</v>
          </cell>
          <cell r="I68">
            <v>1.184821154365792E-2</v>
          </cell>
        </row>
        <row r="69">
          <cell r="A69" t="str">
            <v>T-Plg-GSL-mix_S2</v>
          </cell>
          <cell r="B69" t="str">
            <v>VAR_fout</v>
          </cell>
          <cell r="C69" t="str">
            <v>T-PEVmix-ELC_GSL_S2</v>
          </cell>
          <cell r="D69">
            <v>4.8663460048108099E-2</v>
          </cell>
          <cell r="E69">
            <v>8.7700958839574947E-2</v>
          </cell>
          <cell r="F69">
            <v>6.8130338196161225E-2</v>
          </cell>
          <cell r="G69">
            <v>7.7594229134221052E-2</v>
          </cell>
          <cell r="H69">
            <v>9.295494466218376E-4</v>
          </cell>
          <cell r="I69">
            <v>1.0301691496304899E-4</v>
          </cell>
        </row>
        <row r="70">
          <cell r="A70" t="str">
            <v>T-Plg-GSL-mix_S2</v>
          </cell>
          <cell r="B70" t="str">
            <v>VAR_fin</v>
          </cell>
          <cell r="C70" t="str">
            <v>TGSL</v>
          </cell>
          <cell r="D70">
            <v>8.3041160112651544E-2</v>
          </cell>
          <cell r="E70">
            <v>0.14965621757742956</v>
          </cell>
          <cell r="F70">
            <v>0.11626017379535822</v>
          </cell>
          <cell r="G70">
            <v>0.1324097135506323</v>
          </cell>
          <cell r="H70">
            <v>1.5228144514328734E-3</v>
          </cell>
          <cell r="I70">
            <v>1.6054487186528343E-4</v>
          </cell>
        </row>
        <row r="71">
          <cell r="A71" t="str">
            <v>T_B_u-FCLH2O-S3</v>
          </cell>
          <cell r="B71" t="str">
            <v>VAR_fout</v>
          </cell>
          <cell r="C71" t="str">
            <v>TPBSu</v>
          </cell>
          <cell r="I71">
            <v>5.2627539446776806E-7</v>
          </cell>
        </row>
        <row r="72">
          <cell r="A72" t="str">
            <v>T_B_u-FCLH2O-S3</v>
          </cell>
          <cell r="B72" t="str">
            <v>VAR_fin</v>
          </cell>
          <cell r="C72" t="str">
            <v>TH2O</v>
          </cell>
          <cell r="I72">
            <v>3.5901215883245378E-6</v>
          </cell>
        </row>
        <row r="73">
          <cell r="A73" t="str">
            <v>T_B_u-FCLH2O-S3</v>
          </cell>
          <cell r="B73" t="str">
            <v>VAR_cap</v>
          </cell>
          <cell r="C73" t="str">
            <v>-</v>
          </cell>
          <cell r="H73">
            <v>-1.0175380996598399E-8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T-ELC-car-PlgSTGAUXout_S1</v>
          </cell>
          <cell r="E74">
            <v>4.6439778564920115E-5</v>
          </cell>
          <cell r="F74">
            <v>7.7013132586698351E-5</v>
          </cell>
          <cell r="G74">
            <v>4.2353614586492899E-4</v>
          </cell>
          <cell r="H74">
            <v>6.1288543902088169E-4</v>
          </cell>
          <cell r="I74">
            <v>2.3635712637986279E-4</v>
          </cell>
        </row>
        <row r="75">
          <cell r="A75" t="str">
            <v>T-PHEV-STG_S1</v>
          </cell>
          <cell r="B75" t="str">
            <v>VAR_fout</v>
          </cell>
          <cell r="C75" t="str">
            <v>T-ELC-car-PlgSTGOut_S1</v>
          </cell>
          <cell r="E75">
            <v>4.6439778564920102E-5</v>
          </cell>
          <cell r="F75">
            <v>7.7013132586698337E-5</v>
          </cell>
          <cell r="G75">
            <v>4.2353614586492899E-4</v>
          </cell>
          <cell r="H75">
            <v>6.1288543902088169E-4</v>
          </cell>
          <cell r="I75">
            <v>2.3635712637986279E-4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T-ELC-car-PlgSTGAUXin_S1</v>
          </cell>
          <cell r="E76">
            <v>4.8290558714234491E-5</v>
          </cell>
          <cell r="F76">
            <v>8.022933653762472E-5</v>
          </cell>
          <cell r="G76">
            <v>4.2656083093250621E-4</v>
          </cell>
          <cell r="H76">
            <v>6.1360990908860614E-4</v>
          </cell>
          <cell r="I76">
            <v>2.3704001573590213E-4</v>
          </cell>
        </row>
        <row r="77">
          <cell r="A77" t="str">
            <v>T-PHEV-STG_S1</v>
          </cell>
          <cell r="B77" t="str">
            <v>VAR_fin</v>
          </cell>
          <cell r="C77" t="str">
            <v>T-ELC-car-PlgSTGin_S1</v>
          </cell>
          <cell r="E77">
            <v>4.8290558714234491E-5</v>
          </cell>
          <cell r="F77">
            <v>8.022933653762472E-5</v>
          </cell>
          <cell r="G77">
            <v>4.2656083093250621E-4</v>
          </cell>
          <cell r="H77">
            <v>6.1360990908860614E-4</v>
          </cell>
          <cell r="I77">
            <v>2.3704001573590213E-4</v>
          </cell>
        </row>
        <row r="78">
          <cell r="A78" t="str">
            <v>T-PHEV-STG_S1</v>
          </cell>
          <cell r="B78" t="str">
            <v>VAR_ncap</v>
          </cell>
          <cell r="C78" t="str">
            <v>-</v>
          </cell>
          <cell r="E78">
            <v>2.7564539137972998E-3</v>
          </cell>
          <cell r="F78">
            <v>2.7653823029468701E-3</v>
          </cell>
          <cell r="G78">
            <v>3.5153241680522399E-3</v>
          </cell>
        </row>
        <row r="79">
          <cell r="A79" t="str">
            <v>T-PHEV-STG_S1</v>
          </cell>
          <cell r="B79" t="str">
            <v>VAR_cap</v>
          </cell>
          <cell r="C79" t="str">
            <v>-</v>
          </cell>
          <cell r="E79">
            <v>2.7564539137972998E-3</v>
          </cell>
          <cell r="F79">
            <v>5.5205881689903511E-3</v>
          </cell>
          <cell r="G79">
            <v>9.0332423392982687E-3</v>
          </cell>
          <cell r="H79">
            <v>7.2728275560200216E-3</v>
          </cell>
          <cell r="I79">
            <v>1.853803290054161E-3</v>
          </cell>
        </row>
        <row r="80">
          <cell r="A80" t="str">
            <v>T-Plg-GSL-mix_S3</v>
          </cell>
          <cell r="B80" t="str">
            <v>VAR_fout</v>
          </cell>
          <cell r="C80" t="str">
            <v>CO2_T</v>
          </cell>
          <cell r="D80">
            <v>6.4770958386566102</v>
          </cell>
          <cell r="E80">
            <v>76.997977628346902</v>
          </cell>
          <cell r="F80">
            <v>131.6753128983438</v>
          </cell>
          <cell r="G80">
            <v>505.40381302939204</v>
          </cell>
          <cell r="H80">
            <v>532.44240044283015</v>
          </cell>
          <cell r="I80">
            <v>61.783755987915264</v>
          </cell>
        </row>
        <row r="81">
          <cell r="A81" t="str">
            <v>T-Plg-GSL-mix_S3</v>
          </cell>
          <cell r="B81" t="str">
            <v>VAR_fout</v>
          </cell>
          <cell r="C81" t="str">
            <v>T-PEVmix-ELC_GSL_S3</v>
          </cell>
          <cell r="D81">
            <v>4.7879301378003974E-2</v>
          </cell>
          <cell r="E81">
            <v>0.56917628952809407</v>
          </cell>
          <cell r="F81">
            <v>0.97335629228706544</v>
          </cell>
          <cell r="G81">
            <v>3.735992501022726</v>
          </cell>
          <cell r="H81">
            <v>4.1707171440170692</v>
          </cell>
          <cell r="I81">
            <v>0.51121600253966681</v>
          </cell>
        </row>
        <row r="82">
          <cell r="A82" t="str">
            <v>T-Plg-GSL-mix_S3</v>
          </cell>
          <cell r="B82" t="str">
            <v>VAR_fin</v>
          </cell>
          <cell r="C82" t="str">
            <v>TGSL</v>
          </cell>
          <cell r="D82">
            <v>8.7765526269059702E-2</v>
          </cell>
          <cell r="E82">
            <v>1.0433330301944026</v>
          </cell>
          <cell r="F82">
            <v>1.7842183319558784</v>
          </cell>
          <cell r="G82">
            <v>6.8482901494497561</v>
          </cell>
          <cell r="H82">
            <v>7.2146666726670778</v>
          </cell>
          <cell r="I82">
            <v>0.83717826541890594</v>
          </cell>
        </row>
        <row r="83">
          <cell r="A83" t="str">
            <v>T_B_u-FCLH2O-S4</v>
          </cell>
          <cell r="B83" t="str">
            <v>VAR_cap</v>
          </cell>
          <cell r="C83" t="str">
            <v>-</v>
          </cell>
          <cell r="H83">
            <v>-1.0177595083107601E-8</v>
          </cell>
          <cell r="I83">
            <v>-7.8727603352273493E-9</v>
          </cell>
        </row>
        <row r="84">
          <cell r="A84" t="str">
            <v>T-PHEV-STG_S2</v>
          </cell>
          <cell r="B84" t="str">
            <v>VAR_fout</v>
          </cell>
          <cell r="C84" t="str">
            <v>T-ELC-car-PlgSTGAUXout_S2</v>
          </cell>
          <cell r="D84">
            <v>5.4912843321596144E-4</v>
          </cell>
          <cell r="E84">
            <v>7.3083140755028711E-3</v>
          </cell>
          <cell r="F84">
            <v>1.8212946137426841E-3</v>
          </cell>
          <cell r="G84">
            <v>1.4336561994620345E-3</v>
          </cell>
          <cell r="H84">
            <v>1.5466699798951254E-3</v>
          </cell>
          <cell r="I84">
            <v>1.173077262802136E-3</v>
          </cell>
        </row>
        <row r="85">
          <cell r="A85" t="str">
            <v>T-PHEV-STG_S2</v>
          </cell>
          <cell r="B85" t="str">
            <v>VAR_fout</v>
          </cell>
          <cell r="C85" t="str">
            <v>T-ELC-car-PlgSTGOut_S2</v>
          </cell>
          <cell r="D85">
            <v>5.4912843321596144E-4</v>
          </cell>
          <cell r="E85">
            <v>7.3083140755028711E-3</v>
          </cell>
          <cell r="F85">
            <v>1.8212946137426836E-3</v>
          </cell>
          <cell r="G85">
            <v>1.4336561994620343E-3</v>
          </cell>
          <cell r="H85">
            <v>1.5466699798951254E-3</v>
          </cell>
          <cell r="I85">
            <v>1.1730772628021358E-3</v>
          </cell>
        </row>
        <row r="86">
          <cell r="A86" t="str">
            <v>T-PHEV-STG_S2</v>
          </cell>
          <cell r="B86" t="str">
            <v>VAR_fin</v>
          </cell>
          <cell r="C86" t="str">
            <v>T-ELC-car-PlgSTGAUXin_S2</v>
          </cell>
          <cell r="D86">
            <v>5.5071409299519737E-4</v>
          </cell>
          <cell r="E86">
            <v>7.3109285550854415E-3</v>
          </cell>
          <cell r="F86">
            <v>1.8266722893603251E-3</v>
          </cell>
          <cell r="G86">
            <v>1.4369977329489474E-3</v>
          </cell>
          <cell r="H86">
            <v>1.5475859406247823E-3</v>
          </cell>
          <cell r="I86">
            <v>1.1740735839664721E-3</v>
          </cell>
        </row>
        <row r="87">
          <cell r="A87" t="str">
            <v>T-PHEV-STG_S2</v>
          </cell>
          <cell r="B87" t="str">
            <v>VAR_fin</v>
          </cell>
          <cell r="C87" t="str">
            <v>T-ELC-car-PlgSTGin_S2</v>
          </cell>
          <cell r="D87">
            <v>5.5071409299519737E-4</v>
          </cell>
          <cell r="E87">
            <v>7.3109285550854415E-3</v>
          </cell>
          <cell r="F87">
            <v>1.8266722893603251E-3</v>
          </cell>
          <cell r="G87">
            <v>1.4369977329489474E-3</v>
          </cell>
          <cell r="H87">
            <v>1.5475859406247823E-3</v>
          </cell>
          <cell r="I87">
            <v>1.1740735839664721E-3</v>
          </cell>
        </row>
        <row r="88">
          <cell r="A88" t="str">
            <v>T-PHEV-STG_S2</v>
          </cell>
          <cell r="B88" t="str">
            <v>VAR_ncap</v>
          </cell>
          <cell r="C88" t="str">
            <v>-</v>
          </cell>
          <cell r="D88">
            <v>1.32821250085653E-2</v>
          </cell>
          <cell r="E88">
            <v>1.26371732463365E-2</v>
          </cell>
          <cell r="F88">
            <v>1.36961746819361E-2</v>
          </cell>
          <cell r="G88">
            <v>1.25458964090597E-2</v>
          </cell>
          <cell r="H88">
            <v>6.9549140857050702E-3</v>
          </cell>
          <cell r="I88">
            <v>4.7011908450718398E-3</v>
          </cell>
        </row>
        <row r="89">
          <cell r="A89" t="str">
            <v>T-PHEV-STG_S2</v>
          </cell>
          <cell r="B89" t="str">
            <v>VAR_cap</v>
          </cell>
          <cell r="C89" t="str">
            <v>-</v>
          </cell>
          <cell r="D89">
            <v>1.32821250085653E-2</v>
          </cell>
          <cell r="E89">
            <v>2.5916678577595904E-2</v>
          </cell>
          <cell r="F89">
            <v>3.9604777407785507E-2</v>
          </cell>
          <cell r="G89">
            <v>5.2137264997906552E-2</v>
          </cell>
          <cell r="H89">
            <v>2.8920041483271392E-2</v>
          </cell>
          <cell r="I89">
            <v>1.4388012977301258E-2</v>
          </cell>
        </row>
        <row r="90">
          <cell r="A90" t="str">
            <v>T-Plg-GSL-mix_S4</v>
          </cell>
          <cell r="B90" t="str">
            <v>VAR_fout</v>
          </cell>
          <cell r="C90" t="str">
            <v>CO2_T</v>
          </cell>
          <cell r="D90">
            <v>12.768793070444399</v>
          </cell>
          <cell r="E90">
            <v>19.284176760781932</v>
          </cell>
          <cell r="F90">
            <v>20.942468954792098</v>
          </cell>
          <cell r="G90">
            <v>17.003240532906915</v>
          </cell>
          <cell r="H90">
            <v>0.3175835183703139</v>
          </cell>
          <cell r="I90">
            <v>1.7870549036320939E-2</v>
          </cell>
        </row>
        <row r="91">
          <cell r="A91" t="str">
            <v>T-Plg-GSL-mix_S4</v>
          </cell>
          <cell r="B91" t="str">
            <v>VAR_fout</v>
          </cell>
          <cell r="C91" t="str">
            <v>T-PEVmix-ELC_GSL_S4</v>
          </cell>
          <cell r="D91">
            <v>8.9927544520183436E-2</v>
          </cell>
          <cell r="E91">
            <v>0.13581382787104304</v>
          </cell>
          <cell r="F91">
            <v>0.14749278173000291</v>
          </cell>
          <cell r="G91">
            <v>0.11974974154367413</v>
          </cell>
          <cell r="H91">
            <v>2.3424255190515096E-3</v>
          </cell>
          <cell r="I91">
            <v>1.374243225963226E-4</v>
          </cell>
        </row>
        <row r="92">
          <cell r="A92" t="str">
            <v>T-Plg-GSL-mix_S4</v>
          </cell>
          <cell r="B92" t="str">
            <v>VAR_fin</v>
          </cell>
          <cell r="C92" t="str">
            <v>TGSL</v>
          </cell>
          <cell r="D92">
            <v>0.17301887629328469</v>
          </cell>
          <cell r="E92">
            <v>0.26130320814067654</v>
          </cell>
          <cell r="F92">
            <v>0.28377329207035418</v>
          </cell>
          <cell r="G92">
            <v>0.23039621318302056</v>
          </cell>
          <cell r="H92">
            <v>4.3032997069148184E-3</v>
          </cell>
          <cell r="I92">
            <v>2.4214836092575836E-4</v>
          </cell>
        </row>
        <row r="93">
          <cell r="A93" t="str">
            <v>T-PHEV-STG_S3</v>
          </cell>
          <cell r="B93" t="str">
            <v>VAR_fout</v>
          </cell>
          <cell r="C93" t="str">
            <v>T-ELC-car-PlgSTGAUXout_S3</v>
          </cell>
          <cell r="E93">
            <v>7.6845904521585282E-2</v>
          </cell>
          <cell r="F93">
            <v>0.29989894392979471</v>
          </cell>
          <cell r="G93">
            <v>1.919618458693122</v>
          </cell>
          <cell r="H93">
            <v>3.2387639088591031</v>
          </cell>
          <cell r="I93">
            <v>1.4666492054422502</v>
          </cell>
        </row>
        <row r="94">
          <cell r="A94" t="str">
            <v>T-PHEV-STG_S3</v>
          </cell>
          <cell r="B94" t="str">
            <v>VAR_fout</v>
          </cell>
          <cell r="C94" t="str">
            <v>T-ELC-car-PlgSTGOut_S3</v>
          </cell>
          <cell r="E94">
            <v>7.6845904521585282E-2</v>
          </cell>
          <cell r="F94">
            <v>0.29989894392979471</v>
          </cell>
          <cell r="G94">
            <v>1.919618458693122</v>
          </cell>
          <cell r="H94">
            <v>3.2387639088591031</v>
          </cell>
          <cell r="I94">
            <v>1.4666492054422493</v>
          </cell>
        </row>
        <row r="95">
          <cell r="A95" t="str">
            <v>T-PHEV-STG_S3</v>
          </cell>
          <cell r="B95" t="str">
            <v>VAR_fin</v>
          </cell>
          <cell r="C95" t="str">
            <v>T-ELC-car-PlgSTGAUXin_S3</v>
          </cell>
          <cell r="E95">
            <v>7.685499699954082E-2</v>
          </cell>
          <cell r="F95">
            <v>0.29993192307480299</v>
          </cell>
          <cell r="G95">
            <v>1.919813751691632</v>
          </cell>
          <cell r="H95">
            <v>3.2390882414324937</v>
          </cell>
          <cell r="I95">
            <v>1.4667966384618094</v>
          </cell>
        </row>
        <row r="96">
          <cell r="A96" t="str">
            <v>T-PHEV-STG_S3</v>
          </cell>
          <cell r="B96" t="str">
            <v>VAR_fin</v>
          </cell>
          <cell r="C96" t="str">
            <v>T-ELC-car-PlgSTGin_S3</v>
          </cell>
          <cell r="E96">
            <v>7.685499699954082E-2</v>
          </cell>
          <cell r="F96">
            <v>0.29993192307480299</v>
          </cell>
          <cell r="G96">
            <v>1.919813751691632</v>
          </cell>
          <cell r="H96">
            <v>3.2390882414324937</v>
          </cell>
          <cell r="I96">
            <v>1.4667966384618094</v>
          </cell>
        </row>
        <row r="97">
          <cell r="A97" t="str">
            <v>T-PHEV-STG_S3</v>
          </cell>
          <cell r="B97" t="str">
            <v>VAR_ncap</v>
          </cell>
          <cell r="C97" t="str">
            <v>-</v>
          </cell>
          <cell r="E97">
            <v>3.2475416194608999</v>
          </cell>
          <cell r="F97">
            <v>9.4647305254668499</v>
          </cell>
          <cell r="G97">
            <v>44.993258769330097</v>
          </cell>
        </row>
        <row r="98">
          <cell r="A98" t="str">
            <v>T-PHEV-STG_S3</v>
          </cell>
          <cell r="B98" t="str">
            <v>VAR_cap</v>
          </cell>
          <cell r="C98" t="str">
            <v>-</v>
          </cell>
          <cell r="E98">
            <v>3.2475416194608999</v>
          </cell>
          <cell r="F98">
            <v>12.710566209793317</v>
          </cell>
          <cell r="G98">
            <v>57.694640620852432</v>
          </cell>
          <cell r="H98">
            <v>89.10292763897597</v>
          </cell>
          <cell r="I98">
            <v>23.479064444531311</v>
          </cell>
        </row>
        <row r="99">
          <cell r="A99" t="str">
            <v>TFLGV-HYBDSL</v>
          </cell>
          <cell r="B99" t="str">
            <v>VAR_fout</v>
          </cell>
          <cell r="C99" t="str">
            <v>CO2_T</v>
          </cell>
          <cell r="E99">
            <v>31.503899636576801</v>
          </cell>
          <cell r="F99">
            <v>142.89165987551101</v>
          </cell>
          <cell r="G99">
            <v>233.02778253321679</v>
          </cell>
          <cell r="H99">
            <v>7.2884760815840402E-3</v>
          </cell>
        </row>
        <row r="100">
          <cell r="A100" t="str">
            <v>TFLGV-HYBDSL</v>
          </cell>
          <cell r="B100" t="str">
            <v>VAR_fout</v>
          </cell>
          <cell r="C100" t="str">
            <v>TFLGV</v>
          </cell>
          <cell r="E100">
            <v>0.19803514317220619</v>
          </cell>
          <cell r="F100">
            <v>0.89822436739567602</v>
          </cell>
          <cell r="G100">
            <v>1.4648246981935085</v>
          </cell>
          <cell r="H100">
            <v>4.5815737764981384E-5</v>
          </cell>
        </row>
        <row r="101">
          <cell r="A101" t="str">
            <v>TFLGV-HYBDSL</v>
          </cell>
          <cell r="B101" t="str">
            <v>VAR_fin</v>
          </cell>
          <cell r="C101" t="str">
            <v>TDSL</v>
          </cell>
          <cell r="E101">
            <v>0.42979399231346282</v>
          </cell>
          <cell r="F101">
            <v>1.9494087295431293</v>
          </cell>
          <cell r="G101">
            <v>3.1790966239183711</v>
          </cell>
          <cell r="H101">
            <v>9.943350725216976E-5</v>
          </cell>
        </row>
        <row r="102">
          <cell r="A102" t="str">
            <v>TFLGV-HYBDSL</v>
          </cell>
          <cell r="B102" t="str">
            <v>VAR_ncap</v>
          </cell>
          <cell r="C102" t="str">
            <v>-</v>
          </cell>
          <cell r="E102">
            <v>1.38043265345519E-2</v>
          </cell>
          <cell r="F102">
            <v>4.8817333106739198E-2</v>
          </cell>
          <cell r="G102">
            <v>6.6637198054628102E-2</v>
          </cell>
        </row>
        <row r="103">
          <cell r="A103" t="str">
            <v>TFLGV-HYBDSL</v>
          </cell>
          <cell r="B103" t="str">
            <v>VAR_cap</v>
          </cell>
          <cell r="C103" t="str">
            <v>-</v>
          </cell>
          <cell r="E103">
            <v>1.38043265345519E-2</v>
          </cell>
          <cell r="F103">
            <v>6.2621659641291197E-2</v>
          </cell>
          <cell r="G103">
            <v>0.12742984753644701</v>
          </cell>
          <cell r="H103">
            <v>3.4601341429001814E-6</v>
          </cell>
        </row>
        <row r="104">
          <cell r="A104" t="str">
            <v>TFHGV-FCLH2O</v>
          </cell>
          <cell r="B104" t="str">
            <v>VAR_fout</v>
          </cell>
          <cell r="C104" t="str">
            <v>TFHGV</v>
          </cell>
          <cell r="D104">
            <v>4.4397980280908966E-4</v>
          </cell>
          <cell r="E104">
            <v>1.8485305345024183E-4</v>
          </cell>
          <cell r="F104">
            <v>1.8496753237826682E-4</v>
          </cell>
          <cell r="G104">
            <v>3.0788447639060568E-5</v>
          </cell>
          <cell r="H104">
            <v>4.7946576740515885E-5</v>
          </cell>
          <cell r="I104">
            <v>4.414020377403187E-5</v>
          </cell>
        </row>
        <row r="105">
          <cell r="A105" t="str">
            <v>TFHGV-FCLH2O</v>
          </cell>
          <cell r="B105" t="str">
            <v>VAR_fin</v>
          </cell>
          <cell r="C105" t="str">
            <v>TH2O</v>
          </cell>
          <cell r="D105">
            <v>2.5448987254789606E-3</v>
          </cell>
          <cell r="E105">
            <v>1.0551987793383352E-3</v>
          </cell>
          <cell r="F105">
            <v>1.0550887178629321E-3</v>
          </cell>
          <cell r="G105">
            <v>1.7315184728100035E-4</v>
          </cell>
          <cell r="H105">
            <v>2.399478377110245E-4</v>
          </cell>
          <cell r="I105">
            <v>2.0329578319636341E-4</v>
          </cell>
        </row>
        <row r="106">
          <cell r="A106" t="str">
            <v>TFHGV-FCLH2O</v>
          </cell>
          <cell r="B106" t="str">
            <v>VAR_ncap</v>
          </cell>
          <cell r="C106" t="str">
            <v>-</v>
          </cell>
          <cell r="E106">
            <v>8.9730668236310795E-8</v>
          </cell>
          <cell r="F106">
            <v>8.7275943607830405E-8</v>
          </cell>
          <cell r="G106">
            <v>1.22497066311644E-7</v>
          </cell>
          <cell r="H106">
            <v>5.6879669803138103E-7</v>
          </cell>
          <cell r="I106">
            <v>8.3294309184165602E-7</v>
          </cell>
        </row>
        <row r="107">
          <cell r="A107" t="str">
            <v>TFHGV-FCLH2O</v>
          </cell>
          <cell r="B107" t="str">
            <v>VAR_cap</v>
          </cell>
          <cell r="C107" t="str">
            <v>-</v>
          </cell>
          <cell r="D107">
            <v>1.035406679758273E-5</v>
          </cell>
          <cell r="E107">
            <v>3.6034714686302083E-6</v>
          </cell>
          <cell r="F107">
            <v>3.7037584648268415E-6</v>
          </cell>
          <cell r="G107">
            <v>6.3492186417344372E-7</v>
          </cell>
          <cell r="H107">
            <v>9.5886014173928165E-7</v>
          </cell>
          <cell r="I107">
            <v>9.3276044872446398E-7</v>
          </cell>
        </row>
        <row r="108">
          <cell r="A108" t="str">
            <v>T-PHEV-STG_S4</v>
          </cell>
          <cell r="B108" t="str">
            <v>VAR_fout</v>
          </cell>
          <cell r="C108" t="str">
            <v>T-ELC-car-PlgSTGAUXout_S4</v>
          </cell>
          <cell r="E108">
            <v>1.864090538057386E-2</v>
          </cell>
          <cell r="F108">
            <v>4.6695454259088071E-3</v>
          </cell>
          <cell r="G108">
            <v>6.8768560218064687E-3</v>
          </cell>
          <cell r="H108">
            <v>5.7574074241606502E-3</v>
          </cell>
          <cell r="I108">
            <v>6.8278102723868031E-4</v>
          </cell>
        </row>
        <row r="109">
          <cell r="A109" t="str">
            <v>T-PHEV-STG_S4</v>
          </cell>
          <cell r="B109" t="str">
            <v>VAR_fout</v>
          </cell>
          <cell r="C109" t="str">
            <v>T-ELC-car-PlgSTGOut_S4</v>
          </cell>
          <cell r="E109">
            <v>1.8640905380573856E-2</v>
          </cell>
          <cell r="F109">
            <v>4.6695454259088071E-3</v>
          </cell>
          <cell r="G109">
            <v>6.8768560218064687E-3</v>
          </cell>
          <cell r="H109">
            <v>5.7574074241606502E-3</v>
          </cell>
          <cell r="I109">
            <v>6.8278102723868031E-4</v>
          </cell>
        </row>
        <row r="110">
          <cell r="A110" t="str">
            <v>T-PHEV-STG_S4</v>
          </cell>
          <cell r="B110" t="str">
            <v>VAR_fin</v>
          </cell>
          <cell r="C110" t="str">
            <v>T-ELC-car-PlgSTGAUXin_S4</v>
          </cell>
          <cell r="E110">
            <v>1.8644935547095325E-2</v>
          </cell>
          <cell r="F110">
            <v>4.6730104508277762E-3</v>
          </cell>
          <cell r="G110">
            <v>6.8798040662855567E-3</v>
          </cell>
          <cell r="H110">
            <v>5.7595980418254592E-3</v>
          </cell>
          <cell r="I110">
            <v>6.8360274220375587E-4</v>
          </cell>
        </row>
        <row r="111">
          <cell r="A111" t="str">
            <v>T-PHEV-STG_S4</v>
          </cell>
          <cell r="B111" t="str">
            <v>VAR_fin</v>
          </cell>
          <cell r="C111" t="str">
            <v>T-ELC-car-PlgSTGin_S4</v>
          </cell>
          <cell r="E111">
            <v>1.8644935547095325E-2</v>
          </cell>
          <cell r="F111">
            <v>4.6730104508277762E-3</v>
          </cell>
          <cell r="G111">
            <v>6.8798040662855567E-3</v>
          </cell>
          <cell r="H111">
            <v>5.7595980418254592E-3</v>
          </cell>
          <cell r="I111">
            <v>6.8360274220375587E-4</v>
          </cell>
        </row>
        <row r="112">
          <cell r="A112" t="str">
            <v>T-PHEV-STG_S4</v>
          </cell>
          <cell r="B112" t="str">
            <v>VAR_ncap</v>
          </cell>
          <cell r="C112" t="str">
            <v>-</v>
          </cell>
          <cell r="E112">
            <v>1.45583290625344E-2</v>
          </cell>
          <cell r="F112">
            <v>1.6296828557919599E-2</v>
          </cell>
          <cell r="G112">
            <v>0.129193864206498</v>
          </cell>
        </row>
        <row r="113">
          <cell r="A113" t="str">
            <v>T-PHEV-STG_S4</v>
          </cell>
          <cell r="B113" t="str">
            <v>VAR_cap</v>
          </cell>
          <cell r="C113" t="str">
            <v>-</v>
          </cell>
          <cell r="E113">
            <v>1.45583290625344E-2</v>
          </cell>
          <cell r="F113">
            <v>3.0852799333373124E-2</v>
          </cell>
          <cell r="G113">
            <v>0.16003863786144845</v>
          </cell>
          <cell r="H113">
            <v>0.11632907526432956</v>
          </cell>
          <cell r="I113">
            <v>1.0704053938042319E-2</v>
          </cell>
        </row>
        <row r="114">
          <cell r="A114" t="str">
            <v>TFLGV-ICEGSLExt</v>
          </cell>
          <cell r="B114" t="str">
            <v>VAR_fout</v>
          </cell>
          <cell r="C114" t="str">
            <v>CO2_T</v>
          </cell>
          <cell r="D114">
            <v>61.428230390716799</v>
          </cell>
          <cell r="E114">
            <v>130.38416606711999</v>
          </cell>
          <cell r="F114">
            <v>40.010546667333301</v>
          </cell>
          <cell r="G114">
            <v>19.993059100390202</v>
          </cell>
        </row>
        <row r="115">
          <cell r="A115" t="str">
            <v>TFLGV-ICEGSLExt</v>
          </cell>
          <cell r="B115" t="str">
            <v>VAR_fout</v>
          </cell>
          <cell r="C115" t="str">
            <v>TFLGV</v>
          </cell>
          <cell r="D115">
            <v>0.23104943374766018</v>
          </cell>
          <cell r="E115">
            <v>0.4949834174104849</v>
          </cell>
          <cell r="F115">
            <v>0.15399775710605726</v>
          </cell>
          <cell r="G115">
            <v>7.6951866835218777E-2</v>
          </cell>
        </row>
        <row r="116">
          <cell r="A116" t="str">
            <v>TFLGV-ICEGSLExt</v>
          </cell>
          <cell r="B116" t="str">
            <v>VAR_fin</v>
          </cell>
          <cell r="C116" t="str">
            <v>TGSL</v>
          </cell>
          <cell r="D116">
            <v>0.83236084540266697</v>
          </cell>
          <cell r="E116">
            <v>1.7667231174406526</v>
          </cell>
          <cell r="F116">
            <v>0.54214832882565489</v>
          </cell>
          <cell r="G116">
            <v>0.27090865989688623</v>
          </cell>
        </row>
        <row r="117">
          <cell r="A117" t="str">
            <v>TFLGV-ICEGSLExt</v>
          </cell>
          <cell r="B117" t="str">
            <v>VAR_cap</v>
          </cell>
          <cell r="C117" t="str">
            <v>-</v>
          </cell>
          <cell r="D117">
            <v>4.5952E-2</v>
          </cell>
          <cell r="E117">
            <v>3.98250666666667E-2</v>
          </cell>
          <cell r="F117">
            <v>3.0634666666666699E-2</v>
          </cell>
          <cell r="G117">
            <v>1.5317333333333299E-2</v>
          </cell>
        </row>
        <row r="118">
          <cell r="A118" t="str">
            <v>TFRLFELCEXT</v>
          </cell>
          <cell r="B118" t="str">
            <v>VAR_fout</v>
          </cell>
          <cell r="C118" t="str">
            <v>TFRLF</v>
          </cell>
          <cell r="D118">
            <v>2.5094622348485602E-2</v>
          </cell>
          <cell r="E118">
            <v>2.656497166067243E-2</v>
          </cell>
          <cell r="F118">
            <v>2.9170700070370759E-2</v>
          </cell>
          <cell r="G118">
            <v>3.1643390514144672E-2</v>
          </cell>
          <cell r="H118">
            <v>3.3878903963682358E-2</v>
          </cell>
          <cell r="I118">
            <v>3.6423062483559879E-2</v>
          </cell>
        </row>
        <row r="119">
          <cell r="A119" t="str">
            <v>TFRLFELCEXT</v>
          </cell>
          <cell r="B119" t="str">
            <v>VAR_fin</v>
          </cell>
          <cell r="C119" t="str">
            <v>TELC</v>
          </cell>
          <cell r="D119">
            <v>1.5023092639475919</v>
          </cell>
          <cell r="E119">
            <v>1.5903328796156115</v>
          </cell>
          <cell r="F119">
            <v>1.7463268561281742</v>
          </cell>
          <cell r="G119">
            <v>1.8943564103876482</v>
          </cell>
          <cell r="H119">
            <v>2.0281871777242442</v>
          </cell>
          <cell r="I119">
            <v>2.1804952244557709</v>
          </cell>
        </row>
        <row r="120">
          <cell r="A120" t="str">
            <v>TFRLFELCEXT</v>
          </cell>
          <cell r="B120" t="str">
            <v>VAR_ncap</v>
          </cell>
          <cell r="C120" t="str">
            <v>-</v>
          </cell>
          <cell r="D120">
            <v>7.3125118457905302E-8</v>
          </cell>
          <cell r="E120">
            <v>1.3569154788228201E-4</v>
          </cell>
          <cell r="F120">
            <v>2.4055300332572E-4</v>
          </cell>
          <cell r="G120">
            <v>2.2825802841022999E-4</v>
          </cell>
          <cell r="H120">
            <v>7.2139913847264105E-5</v>
          </cell>
          <cell r="I120">
            <v>1.4958565245582001E-3</v>
          </cell>
        </row>
        <row r="121">
          <cell r="A121" t="str">
            <v>TFRLFELCEXT</v>
          </cell>
          <cell r="B121" t="str">
            <v>VAR_cap</v>
          </cell>
          <cell r="C121" t="str">
            <v>-</v>
          </cell>
          <cell r="D121">
            <v>2.3167376128016377E-3</v>
          </cell>
          <cell r="E121">
            <v>2.4524291606839201E-3</v>
          </cell>
          <cell r="F121">
            <v>2.6929821640096397E-3</v>
          </cell>
          <cell r="G121">
            <v>2.9212401924198698E-3</v>
          </cell>
          <cell r="H121">
            <v>3.1276236092250709E-3</v>
          </cell>
          <cell r="I121">
            <v>3.3624846977565797E-3</v>
          </cell>
        </row>
        <row r="122">
          <cell r="A122" t="str">
            <v>TFLGV-ICEDSLExt</v>
          </cell>
          <cell r="B122" t="str">
            <v>VAR_fout</v>
          </cell>
          <cell r="C122" t="str">
            <v>CO2_T</v>
          </cell>
          <cell r="D122">
            <v>802.79196851157599</v>
          </cell>
          <cell r="E122">
            <v>545.27315653904202</v>
          </cell>
          <cell r="F122">
            <v>399.57591800465201</v>
          </cell>
          <cell r="G122">
            <v>199.769293950617</v>
          </cell>
        </row>
        <row r="123">
          <cell r="A123" t="str">
            <v>TFLGV-ICEDSLExt</v>
          </cell>
          <cell r="B123" t="str">
            <v>VAR_fout</v>
          </cell>
          <cell r="C123" t="str">
            <v>TFLGV</v>
          </cell>
          <cell r="D123">
            <v>2.8370058818446138</v>
          </cell>
          <cell r="E123">
            <v>1.9931665222782102</v>
          </cell>
          <cell r="F123">
            <v>1.5333723266888579</v>
          </cell>
          <cell r="G123">
            <v>0.76661453622057574</v>
          </cell>
        </row>
        <row r="124">
          <cell r="A124" t="str">
            <v>TFLGV-ICEDSLExt</v>
          </cell>
          <cell r="B124" t="str">
            <v>VAR_fin</v>
          </cell>
          <cell r="C124" t="str">
            <v>TDSL</v>
          </cell>
          <cell r="D124">
            <v>10.952141453091071</v>
          </cell>
          <cell r="E124">
            <v>7.4389243729746557</v>
          </cell>
          <cell r="F124">
            <v>5.4512403547701522</v>
          </cell>
          <cell r="G124">
            <v>2.7253655382075932</v>
          </cell>
        </row>
        <row r="125">
          <cell r="A125" t="str">
            <v>TFLGV-ICEDSLExt</v>
          </cell>
          <cell r="B125" t="str">
            <v>VAR_cap</v>
          </cell>
          <cell r="C125" t="str">
            <v>-</v>
          </cell>
          <cell r="D125">
            <v>0.228993</v>
          </cell>
          <cell r="E125">
            <v>0.19846059999999999</v>
          </cell>
          <cell r="F125">
            <v>0.15266198409008477</v>
          </cell>
          <cell r="G125">
            <v>7.6330999999999996E-2</v>
          </cell>
        </row>
        <row r="126">
          <cell r="A126" t="str">
            <v>T_C-ICE-NGA-S1</v>
          </cell>
          <cell r="B126" t="str">
            <v>VAR_fout</v>
          </cell>
          <cell r="C126" t="str">
            <v>CO2_T</v>
          </cell>
          <cell r="D126">
            <v>0.2066479825261483</v>
          </cell>
          <cell r="E126">
            <v>0.10884603057576954</v>
          </cell>
          <cell r="F126">
            <v>0.10035902994745644</v>
          </cell>
          <cell r="G126">
            <v>7.7605728755501474E-3</v>
          </cell>
          <cell r="H126">
            <v>1.513904294386078E-4</v>
          </cell>
        </row>
        <row r="127">
          <cell r="A127" t="str">
            <v>T_C-ICE-NGA-S1</v>
          </cell>
          <cell r="B127" t="str">
            <v>VAR_fout</v>
          </cell>
          <cell r="C127" t="str">
            <v>TPCAR</v>
          </cell>
          <cell r="D127">
            <v>2.2548698345581058E-3</v>
          </cell>
          <cell r="E127">
            <v>1.2508766669798806E-3</v>
          </cell>
          <cell r="F127">
            <v>1.1474396148931853E-3</v>
          </cell>
          <cell r="G127">
            <v>8.6033118370879309E-5</v>
          </cell>
          <cell r="H127">
            <v>1.5016499357665459E-6</v>
          </cell>
        </row>
        <row r="128">
          <cell r="A128" t="str">
            <v>T_C-ICE-NGA-S1</v>
          </cell>
          <cell r="B128" t="str">
            <v>VAR_fin</v>
          </cell>
          <cell r="C128" t="str">
            <v>TNGA</v>
          </cell>
          <cell r="D128">
            <v>3.6639713213856111E-3</v>
          </cell>
          <cell r="E128">
            <v>1.9298941591448509E-3</v>
          </cell>
          <cell r="F128">
            <v>1.7794154246002921E-3</v>
          </cell>
          <cell r="G128">
            <v>1.3759880985017995E-4</v>
          </cell>
          <cell r="H128">
            <v>2.684227472315733E-6</v>
          </cell>
        </row>
        <row r="129">
          <cell r="A129" t="str">
            <v>T_C-ICE-NGA-S1</v>
          </cell>
          <cell r="B129" t="str">
            <v>VAR_ncap</v>
          </cell>
          <cell r="C129" t="str">
            <v>-</v>
          </cell>
          <cell r="E129">
            <v>1.6639427006209399E-6</v>
          </cell>
          <cell r="F129">
            <v>1.9617806569204399E-6</v>
          </cell>
          <cell r="G129">
            <v>5.6223503234182196E-7</v>
          </cell>
        </row>
        <row r="130">
          <cell r="A130" t="str">
            <v>T_C-ICE-NGA-S1</v>
          </cell>
          <cell r="B130" t="str">
            <v>VAR_cap</v>
          </cell>
          <cell r="C130" t="str">
            <v>-</v>
          </cell>
          <cell r="D130">
            <v>2.5629355550414398E-4</v>
          </cell>
          <cell r="E130">
            <v>1.6806834446391459E-4</v>
          </cell>
          <cell r="F130">
            <v>1.696750717914223E-4</v>
          </cell>
          <cell r="G130">
            <v>1.2826194713169161E-5</v>
          </cell>
          <cell r="H130">
            <v>3.3508312428102876E-7</v>
          </cell>
        </row>
        <row r="131">
          <cell r="A131" t="str">
            <v>D-T-ELC-car</v>
          </cell>
          <cell r="B131" t="str">
            <v>VAR_fout</v>
          </cell>
          <cell r="C131" t="str">
            <v>T-ELC-car</v>
          </cell>
          <cell r="D131">
            <v>0.73801590853726373</v>
          </cell>
          <cell r="E131">
            <v>1.7460886812334511</v>
          </cell>
          <cell r="F131">
            <v>4.3306547520027685</v>
          </cell>
          <cell r="G131">
            <v>18.290738697423841</v>
          </cell>
          <cell r="H131">
            <v>37.73047198728689</v>
          </cell>
          <cell r="I131">
            <v>39.162629136679691</v>
          </cell>
        </row>
        <row r="132">
          <cell r="A132" t="str">
            <v>D-T-ELC-car</v>
          </cell>
          <cell r="B132" t="str">
            <v>VAR_fin</v>
          </cell>
          <cell r="C132" t="str">
            <v>TELC</v>
          </cell>
          <cell r="D132">
            <v>0.73801590853726373</v>
          </cell>
          <cell r="E132">
            <v>1.7460886812334511</v>
          </cell>
          <cell r="F132">
            <v>4.3306547520027685</v>
          </cell>
          <cell r="G132">
            <v>18.290738697423841</v>
          </cell>
          <cell r="H132">
            <v>37.73047198728689</v>
          </cell>
          <cell r="I132">
            <v>39.162629136679691</v>
          </cell>
        </row>
        <row r="133">
          <cell r="A133" t="str">
            <v>D-T-ELC-car</v>
          </cell>
          <cell r="B133" t="str">
            <v>VAR_ncap</v>
          </cell>
          <cell r="C133" t="str">
            <v>-</v>
          </cell>
          <cell r="D133">
            <v>2.0166933169695601E-7</v>
          </cell>
          <cell r="E133">
            <v>1.75979090346165E-7</v>
          </cell>
          <cell r="F133">
            <v>0.98243172218446495</v>
          </cell>
          <cell r="G133">
            <v>9.1453659911298004</v>
          </cell>
          <cell r="H133">
            <v>12.4497093565033</v>
          </cell>
          <cell r="I133">
            <v>26.2088740763438</v>
          </cell>
        </row>
        <row r="134">
          <cell r="A134" t="str">
            <v>D-T-ELC-car</v>
          </cell>
          <cell r="B134" t="str">
            <v>VAR_cap</v>
          </cell>
          <cell r="C134" t="str">
            <v>-</v>
          </cell>
          <cell r="D134">
            <v>1.2762581587273816</v>
          </cell>
          <cell r="E134">
            <v>1.276258334706472</v>
          </cell>
          <cell r="F134">
            <v>2.2586900568909369</v>
          </cell>
          <cell r="G134">
            <v>11.404056048020751</v>
          </cell>
          <cell r="H134">
            <v>33.537482415729599</v>
          </cell>
          <cell r="I134">
            <v>41.4483631758211</v>
          </cell>
        </row>
        <row r="135">
          <cell r="A135" t="str">
            <v>T_C-ICE-NGA-S2</v>
          </cell>
          <cell r="B135" t="str">
            <v>VAR_fout</v>
          </cell>
          <cell r="C135" t="str">
            <v>CO2_T</v>
          </cell>
          <cell r="D135">
            <v>3.1582502263529588</v>
          </cell>
          <cell r="E135">
            <v>3.1544769880617682</v>
          </cell>
          <cell r="F135">
            <v>3.374709943686613</v>
          </cell>
          <cell r="G135">
            <v>8.2574390637560786E-3</v>
          </cell>
          <cell r="H135">
            <v>3.7480426180836401E-4</v>
          </cell>
        </row>
        <row r="136">
          <cell r="A136" t="str">
            <v>T_C-ICE-NGA-S2</v>
          </cell>
          <cell r="B136" t="str">
            <v>VAR_fout</v>
          </cell>
          <cell r="C136" t="str">
            <v>TPCAR</v>
          </cell>
          <cell r="D136">
            <v>3.5358675591744972E-2</v>
          </cell>
          <cell r="E136">
            <v>3.5284547465067782E-2</v>
          </cell>
          <cell r="F136">
            <v>3.694985732717445E-2</v>
          </cell>
          <cell r="G136">
            <v>8.0426467080052199E-5</v>
          </cell>
          <cell r="H136">
            <v>2.9805945442346294E-6</v>
          </cell>
        </row>
        <row r="137">
          <cell r="A137" t="str">
            <v>T_C-ICE-NGA-S2</v>
          </cell>
          <cell r="B137" t="str">
            <v>VAR_fin</v>
          </cell>
          <cell r="C137" t="str">
            <v>TNGA</v>
          </cell>
          <cell r="D137">
            <v>5.5997344438882268E-2</v>
          </cell>
          <cell r="E137">
            <v>5.5930443050740512E-2</v>
          </cell>
          <cell r="F137">
            <v>5.9835282689478977E-2</v>
          </cell>
          <cell r="G137">
            <v>1.4640849403822829E-4</v>
          </cell>
          <cell r="H137">
            <v>6.6454656349000604E-6</v>
          </cell>
        </row>
        <row r="138">
          <cell r="A138" t="str">
            <v>T_C-ICE-NGA-S2</v>
          </cell>
          <cell r="B138" t="str">
            <v>VAR_ncap</v>
          </cell>
          <cell r="C138" t="str">
            <v>-</v>
          </cell>
          <cell r="E138">
            <v>9.811777839979719E-7</v>
          </cell>
          <cell r="F138">
            <v>1.36303725610806E-6</v>
          </cell>
          <cell r="G138">
            <v>5.5038259479719196E-7</v>
          </cell>
        </row>
        <row r="139">
          <cell r="A139" t="str">
            <v>T_C-ICE-NGA-S2</v>
          </cell>
          <cell r="B139" t="str">
            <v>VAR_cap</v>
          </cell>
          <cell r="C139" t="str">
            <v>-</v>
          </cell>
          <cell r="D139">
            <v>2.6902364593150698E-3</v>
          </cell>
          <cell r="E139">
            <v>2.8433280561912704E-3</v>
          </cell>
          <cell r="F139">
            <v>2.80674503885422E-3</v>
          </cell>
          <cell r="G139">
            <v>6.2324982020127428E-6</v>
          </cell>
          <cell r="H139">
            <v>3.2120925229530368E-7</v>
          </cell>
        </row>
        <row r="140">
          <cell r="A140" t="str">
            <v>TFLGV-ICEDSL</v>
          </cell>
          <cell r="B140" t="str">
            <v>VAR_fout</v>
          </cell>
          <cell r="C140" t="str">
            <v>CO2_T</v>
          </cell>
          <cell r="D140">
            <v>326.05924549962492</v>
          </cell>
          <cell r="E140">
            <v>384.70408593769162</v>
          </cell>
          <cell r="F140">
            <v>373.98489008796338</v>
          </cell>
          <cell r="G140">
            <v>152.81111228569677</v>
          </cell>
          <cell r="H140">
            <v>7.9088061569721705E-3</v>
          </cell>
        </row>
        <row r="141">
          <cell r="A141" t="str">
            <v>TFLGV-ICEDSL</v>
          </cell>
          <cell r="B141" t="str">
            <v>VAR_fout</v>
          </cell>
          <cell r="C141" t="str">
            <v>TFLGV</v>
          </cell>
          <cell r="D141">
            <v>1.521822648348659</v>
          </cell>
          <cell r="E141">
            <v>1.7955368509644725</v>
          </cell>
          <cell r="F141">
            <v>1.7455069400162138</v>
          </cell>
          <cell r="G141">
            <v>0.71321827184928321</v>
          </cell>
          <cell r="H141">
            <v>3.6912924559574857E-5</v>
          </cell>
        </row>
        <row r="142">
          <cell r="A142" t="str">
            <v>TFLGV-ICEDSL</v>
          </cell>
          <cell r="B142" t="str">
            <v>VAR_fin</v>
          </cell>
          <cell r="C142" t="str">
            <v>TDSL</v>
          </cell>
          <cell r="D142">
            <v>4.4482843860794672</v>
          </cell>
          <cell r="E142">
            <v>5.2483504220694792</v>
          </cell>
          <cell r="F142">
            <v>5.1021130980622535</v>
          </cell>
          <cell r="G142">
            <v>2.0847355018512479</v>
          </cell>
          <cell r="H142">
            <v>1.0789640050439518E-4</v>
          </cell>
        </row>
        <row r="143">
          <cell r="A143" t="str">
            <v>TFLGV-ICEDSL</v>
          </cell>
          <cell r="B143" t="str">
            <v>VAR_ncap</v>
          </cell>
          <cell r="C143" t="str">
            <v>-</v>
          </cell>
          <cell r="E143">
            <v>1.0643963326420699E-5</v>
          </cell>
          <cell r="F143">
            <v>8.5414685627887803E-5</v>
          </cell>
          <cell r="G143">
            <v>3.9309939278252201E-5</v>
          </cell>
        </row>
        <row r="144">
          <cell r="A144" t="str">
            <v>TFLGV-ICEDSL</v>
          </cell>
          <cell r="B144" t="str">
            <v>VAR_cap</v>
          </cell>
          <cell r="C144" t="str">
            <v>-</v>
          </cell>
          <cell r="D144">
            <v>0.10616879983357115</v>
          </cell>
          <cell r="E144">
            <v>0.12516654482962</v>
          </cell>
          <cell r="F144">
            <v>0.12525196943877986</v>
          </cell>
          <cell r="G144">
            <v>7.0976855049178555E-2</v>
          </cell>
          <cell r="H144">
            <v>2.8279000734508903E-6</v>
          </cell>
        </row>
        <row r="145">
          <cell r="A145" t="str">
            <v>T_C-ICE-NGA-S3</v>
          </cell>
          <cell r="B145" t="str">
            <v>VAR_fout</v>
          </cell>
          <cell r="C145" t="str">
            <v>CO2_T</v>
          </cell>
          <cell r="D145">
            <v>0.24860078905056709</v>
          </cell>
          <cell r="E145">
            <v>0.26845447213296675</v>
          </cell>
          <cell r="F145">
            <v>0.2742364316603666</v>
          </cell>
          <cell r="G145">
            <v>2.8721045658359114E-2</v>
          </cell>
          <cell r="H145">
            <v>5.0296533280115498E-4</v>
          </cell>
        </row>
        <row r="146">
          <cell r="A146" t="str">
            <v>T_C-ICE-NGA-S3</v>
          </cell>
          <cell r="B146" t="str">
            <v>VAR_fout</v>
          </cell>
          <cell r="C146" t="str">
            <v>TPCAR</v>
          </cell>
          <cell r="D146">
            <v>2.0625175980467578E-3</v>
          </cell>
          <cell r="E146">
            <v>2.2481780301297932E-3</v>
          </cell>
          <cell r="F146">
            <v>2.295259771704142E-3</v>
          </cell>
          <cell r="G146">
            <v>2.4743135021765386E-4</v>
          </cell>
          <cell r="H146">
            <v>3.9700576696216341E-6</v>
          </cell>
        </row>
        <row r="147">
          <cell r="A147" t="str">
            <v>T_C-ICE-NGA-S3</v>
          </cell>
          <cell r="B147" t="str">
            <v>VAR_fin</v>
          </cell>
          <cell r="C147" t="str">
            <v>TNGA</v>
          </cell>
          <cell r="D147">
            <v>4.4078154086979954E-3</v>
          </cell>
          <cell r="E147">
            <v>4.7598310661873438E-3</v>
          </cell>
          <cell r="F147">
            <v>4.8623480790845044E-3</v>
          </cell>
          <cell r="G147">
            <v>5.0923839819785692E-4</v>
          </cell>
          <cell r="H147">
            <v>8.9178250496658595E-6</v>
          </cell>
        </row>
        <row r="148">
          <cell r="A148" t="str">
            <v>T_C-ICE-NGA-S3</v>
          </cell>
          <cell r="B148" t="str">
            <v>VAR_ncap</v>
          </cell>
          <cell r="C148" t="str">
            <v>-</v>
          </cell>
          <cell r="E148">
            <v>1.27603584783823E-6</v>
          </cell>
          <cell r="F148">
            <v>1.42407197587295E-6</v>
          </cell>
          <cell r="G148">
            <v>5.2728537113944904E-7</v>
          </cell>
        </row>
        <row r="149">
          <cell r="A149" t="str">
            <v>T_C-ICE-NGA-S3</v>
          </cell>
          <cell r="B149" t="str">
            <v>VAR_cap</v>
          </cell>
          <cell r="C149" t="str">
            <v>-</v>
          </cell>
          <cell r="D149">
            <v>1.5112174236928E-4</v>
          </cell>
          <cell r="E149">
            <v>1.5906384596943906E-4</v>
          </cell>
          <cell r="F149">
            <v>1.5943934457433956E-4</v>
          </cell>
          <cell r="G149">
            <v>1.6641022516358914E-5</v>
          </cell>
          <cell r="H149">
            <v>3.1363998949578634E-7</v>
          </cell>
        </row>
        <row r="150">
          <cell r="A150" t="str">
            <v>T_C-ICE-NGA-S4</v>
          </cell>
          <cell r="B150" t="str">
            <v>VAR_fout</v>
          </cell>
          <cell r="C150" t="str">
            <v>CO2_T</v>
          </cell>
          <cell r="D150">
            <v>2.7260287238964245</v>
          </cell>
          <cell r="E150">
            <v>2.6598491685556835</v>
          </cell>
          <cell r="F150">
            <v>2.4756063070388077</v>
          </cell>
          <cell r="G150">
            <v>5.0261296967035801E-3</v>
          </cell>
          <cell r="H150">
            <v>4.3504416728530902E-4</v>
          </cell>
        </row>
        <row r="151">
          <cell r="A151" t="str">
            <v>T_C-ICE-NGA-S4</v>
          </cell>
          <cell r="B151" t="str">
            <v>VAR_fout</v>
          </cell>
          <cell r="C151" t="str">
            <v>TPCAR</v>
          </cell>
          <cell r="D151">
            <v>3.299699340101539E-2</v>
          </cell>
          <cell r="E151">
            <v>3.2180645839626272E-2</v>
          </cell>
          <cell r="F151">
            <v>2.9940181569777846E-2</v>
          </cell>
          <cell r="G151">
            <v>5.0192671791195884E-5</v>
          </cell>
          <cell r="H151">
            <v>3.3630140097952438E-6</v>
          </cell>
        </row>
        <row r="152">
          <cell r="A152" t="str">
            <v>T_C-ICE-NGA-S4</v>
          </cell>
          <cell r="B152" t="str">
            <v>VAR_fin</v>
          </cell>
          <cell r="C152" t="str">
            <v>TNGA</v>
          </cell>
          <cell r="D152">
            <v>4.8333842622277107E-2</v>
          </cell>
          <cell r="E152">
            <v>4.7160446250987142E-2</v>
          </cell>
          <cell r="F152">
            <v>4.3893728848205589E-2</v>
          </cell>
          <cell r="G152">
            <v>8.9115774764247972E-5</v>
          </cell>
          <cell r="H152">
            <v>7.7135490653423601E-6</v>
          </cell>
        </row>
        <row r="153">
          <cell r="A153" t="str">
            <v>T_C-ICE-NGA-S4</v>
          </cell>
          <cell r="B153" t="str">
            <v>VAR_ncap</v>
          </cell>
          <cell r="C153" t="str">
            <v>-</v>
          </cell>
          <cell r="E153">
            <v>1.3069526140256401E-6</v>
          </cell>
          <cell r="F153">
            <v>1.6946947874353901E-6</v>
          </cell>
          <cell r="G153">
            <v>6.1399572056186703E-7</v>
          </cell>
        </row>
        <row r="154">
          <cell r="A154" t="str">
            <v>T_C-ICE-NGA-S4</v>
          </cell>
          <cell r="B154" t="str">
            <v>VAR_cap</v>
          </cell>
          <cell r="C154" t="str">
            <v>-</v>
          </cell>
          <cell r="D154">
            <v>2.6074482428115001E-3</v>
          </cell>
          <cell r="E154">
            <v>2.5348370614890455E-3</v>
          </cell>
          <cell r="F154">
            <v>2.3605702996527416E-3</v>
          </cell>
          <cell r="G154">
            <v>4.0726084311428542E-6</v>
          </cell>
          <cell r="H154">
            <v>3.5352964270440582E-7</v>
          </cell>
        </row>
        <row r="155">
          <cell r="A155" t="str">
            <v>T_C-MHY-GSL-S1</v>
          </cell>
          <cell r="B155" t="str">
            <v>VAR_fout</v>
          </cell>
          <cell r="C155" t="str">
            <v>CO2_T</v>
          </cell>
          <cell r="E155">
            <v>1.6069403753517199E-2</v>
          </cell>
          <cell r="F155">
            <v>6.1402264362931502E-2</v>
          </cell>
          <cell r="G155">
            <v>7.3483365527664407E-2</v>
          </cell>
          <cell r="H155">
            <v>1.31883951510018E-2</v>
          </cell>
        </row>
        <row r="156">
          <cell r="A156" t="str">
            <v>T_C-MHY-GSL-S1</v>
          </cell>
          <cell r="B156" t="str">
            <v>VAR_fout</v>
          </cell>
          <cell r="C156" t="str">
            <v>TPCAR</v>
          </cell>
          <cell r="E156">
            <v>1.1287259728173499E-4</v>
          </cell>
          <cell r="F156">
            <v>4.5403194760909761E-4</v>
          </cell>
          <cell r="G156">
            <v>5.6179308977800078E-4</v>
          </cell>
          <cell r="H156">
            <v>1.0548069750232437E-4</v>
          </cell>
        </row>
        <row r="157">
          <cell r="A157" t="str">
            <v>T_C-MHY-GSL-S1</v>
          </cell>
          <cell r="B157" t="str">
            <v>VAR_fin</v>
          </cell>
          <cell r="C157" t="str">
            <v>TGSL</v>
          </cell>
          <cell r="E157">
            <v>2.1774259828614167E-4</v>
          </cell>
          <cell r="F157">
            <v>8.3200900220774265E-4</v>
          </cell>
          <cell r="G157">
            <v>9.9570955999545301E-4</v>
          </cell>
          <cell r="H157">
            <v>1.7870454134148804E-4</v>
          </cell>
        </row>
        <row r="158">
          <cell r="A158" t="str">
            <v>T_C-MHY-GSL-S1</v>
          </cell>
          <cell r="B158" t="str">
            <v>VAR_ncap</v>
          </cell>
          <cell r="C158" t="str">
            <v>-</v>
          </cell>
          <cell r="E158">
            <v>1.33925854458172E-5</v>
          </cell>
          <cell r="F158">
            <v>5.5724699614065001E-5</v>
          </cell>
          <cell r="G158">
            <v>2.7211407334237599E-5</v>
          </cell>
        </row>
        <row r="159">
          <cell r="A159" t="str">
            <v>T_C-MHY-GSL-S1</v>
          </cell>
          <cell r="B159" t="str">
            <v>VAR_cap</v>
          </cell>
          <cell r="C159" t="str">
            <v>-</v>
          </cell>
          <cell r="E159">
            <v>1.3214287934595199E-5</v>
          </cell>
          <cell r="F159">
            <v>6.7440747782467896E-5</v>
          </cell>
          <cell r="G159">
            <v>8.4139832684294497E-5</v>
          </cell>
          <cell r="H159">
            <v>1.50753982884004E-5</v>
          </cell>
        </row>
        <row r="160">
          <cell r="A160" t="str">
            <v>T_TRLY_ELC</v>
          </cell>
          <cell r="B160" t="str">
            <v>VAR_fout</v>
          </cell>
          <cell r="C160" t="str">
            <v>TPTRLY</v>
          </cell>
          <cell r="D160">
            <v>2.7120999999999972E-2</v>
          </cell>
          <cell r="E160">
            <v>2.7782165745480814E-2</v>
          </cell>
          <cell r="F160">
            <v>2.8832315767707572E-2</v>
          </cell>
          <cell r="G160">
            <v>3.0543631535415186E-2</v>
          </cell>
          <cell r="H160">
            <v>3.2006602244411902E-2</v>
          </cell>
          <cell r="I160">
            <v>3.3071687199031086E-2</v>
          </cell>
        </row>
        <row r="161">
          <cell r="A161" t="str">
            <v>T_TRLY_ELC</v>
          </cell>
          <cell r="B161" t="str">
            <v>VAR_fin</v>
          </cell>
          <cell r="C161" t="str">
            <v>TELC</v>
          </cell>
          <cell r="D161">
            <v>0.2816422643485601</v>
          </cell>
          <cell r="E161">
            <v>0.30668648626079364</v>
          </cell>
          <cell r="F161">
            <v>0.35149986092475399</v>
          </cell>
          <cell r="G161">
            <v>0.45078090930791764</v>
          </cell>
          <cell r="H161">
            <v>0.47237229295618205</v>
          </cell>
          <cell r="I161">
            <v>0.48809144422268164</v>
          </cell>
        </row>
        <row r="162">
          <cell r="A162" t="str">
            <v>T_C-MHY-GSL-S2</v>
          </cell>
          <cell r="B162" t="str">
            <v>VAR_fout</v>
          </cell>
          <cell r="C162" t="str">
            <v>CO2_T</v>
          </cell>
          <cell r="E162">
            <v>1.28437285702869E-2</v>
          </cell>
          <cell r="F162">
            <v>5.8266273475960695E-2</v>
          </cell>
          <cell r="G162">
            <v>7.7414558543041939E-2</v>
          </cell>
          <cell r="H162">
            <v>1.5017287591672038E-2</v>
          </cell>
        </row>
        <row r="163">
          <cell r="A163" t="str">
            <v>T_C-MHY-GSL-S2</v>
          </cell>
          <cell r="B163" t="str">
            <v>VAR_fout</v>
          </cell>
          <cell r="C163" t="str">
            <v>TPCAR</v>
          </cell>
          <cell r="E163">
            <v>7.2630956529243969E-5</v>
          </cell>
          <cell r="F163">
            <v>3.4787683925718138E-4</v>
          </cell>
          <cell r="G163">
            <v>4.8244368012047805E-4</v>
          </cell>
          <cell r="H163">
            <v>9.7916854069024761E-5</v>
          </cell>
        </row>
        <row r="164">
          <cell r="A164" t="str">
            <v>T_C-MHY-GSL-S2</v>
          </cell>
          <cell r="B164" t="str">
            <v>VAR_fin</v>
          </cell>
          <cell r="C164" t="str">
            <v>TGSL</v>
          </cell>
          <cell r="E164">
            <v>1.7403426247001249E-4</v>
          </cell>
          <cell r="F164">
            <v>7.8951590075827501E-4</v>
          </cell>
          <cell r="G164">
            <v>1.0489777580357982E-3</v>
          </cell>
          <cell r="H164">
            <v>2.0348628172997305E-4</v>
          </cell>
        </row>
        <row r="165">
          <cell r="A165" t="str">
            <v>T_C-MHY-GSL-S2</v>
          </cell>
          <cell r="B165" t="str">
            <v>VAR_ncap</v>
          </cell>
          <cell r="C165" t="str">
            <v>-</v>
          </cell>
          <cell r="E165">
            <v>5.9945071500016304E-6</v>
          </cell>
          <cell r="F165">
            <v>2.63573371791496E-5</v>
          </cell>
          <cell r="G165">
            <v>1.7239071064979499E-5</v>
          </cell>
        </row>
        <row r="166">
          <cell r="A166" t="str">
            <v>T_C-MHY-GSL-S2</v>
          </cell>
          <cell r="B166" t="str">
            <v>VAR_cap</v>
          </cell>
          <cell r="C166" t="str">
            <v>-</v>
          </cell>
          <cell r="E166">
            <v>5.91470137163476E-6</v>
          </cell>
          <cell r="F166">
            <v>3.1582589629757498E-5</v>
          </cell>
          <cell r="G166">
            <v>4.3685240898249502E-5</v>
          </cell>
          <cell r="H166">
            <v>8.8038618754099593E-6</v>
          </cell>
        </row>
        <row r="167">
          <cell r="A167" t="str">
            <v>T_C-MHY-DSL-S1</v>
          </cell>
          <cell r="B167" t="str">
            <v>VAR_fout</v>
          </cell>
          <cell r="C167" t="str">
            <v>CO2_T</v>
          </cell>
          <cell r="E167">
            <v>1.30590564969754E-2</v>
          </cell>
          <cell r="F167">
            <v>4.8337869204756703E-2</v>
          </cell>
          <cell r="G167">
            <v>5.898207868555172E-2</v>
          </cell>
          <cell r="H167">
            <v>1.0940474133203339E-2</v>
          </cell>
        </row>
        <row r="168">
          <cell r="A168" t="str">
            <v>T_C-MHY-DSL-S1</v>
          </cell>
          <cell r="B168" t="str">
            <v>VAR_fout</v>
          </cell>
          <cell r="C168" t="str">
            <v>TPCAR</v>
          </cell>
          <cell r="E168">
            <v>1.0013168706707476E-4</v>
          </cell>
          <cell r="F168">
            <v>3.86505886755279E-4</v>
          </cell>
          <cell r="G168">
            <v>4.856562004853487E-4</v>
          </cell>
          <cell r="H168">
            <v>9.3569972630497475E-5</v>
          </cell>
        </row>
        <row r="169">
          <cell r="A169" t="str">
            <v>T_C-MHY-DSL-S1</v>
          </cell>
          <cell r="B169" t="str">
            <v>VAR_fin</v>
          </cell>
          <cell r="C169" t="str">
            <v>TDSL</v>
          </cell>
          <cell r="E169">
            <v>1.7815902451535299E-4</v>
          </cell>
          <cell r="F169">
            <v>6.5945251302532842E-4</v>
          </cell>
          <cell r="G169">
            <v>8.0466683063508502E-4</v>
          </cell>
          <cell r="H169">
            <v>1.4925612732883133E-4</v>
          </cell>
        </row>
        <row r="170">
          <cell r="A170" t="str">
            <v>T_C-MHY-DSL-S1</v>
          </cell>
          <cell r="B170" t="str">
            <v>VAR_ncap</v>
          </cell>
          <cell r="C170" t="str">
            <v>-</v>
          </cell>
          <cell r="E170">
            <v>1.1897163072377401E-5</v>
          </cell>
          <cell r="F170">
            <v>4.6608418238767002E-5</v>
          </cell>
          <cell r="G170">
            <v>2.4390108452790099E-5</v>
          </cell>
        </row>
        <row r="171">
          <cell r="A171" t="str">
            <v>T_C-MHY-DSL-S1</v>
          </cell>
          <cell r="B171" t="str">
            <v>VAR_cap</v>
          </cell>
          <cell r="C171" t="str">
            <v>-</v>
          </cell>
          <cell r="E171">
            <v>1.1738774344899E-5</v>
          </cell>
          <cell r="F171">
            <v>5.7054775700987201E-5</v>
          </cell>
          <cell r="G171">
            <v>7.2440203375209703E-5</v>
          </cell>
          <cell r="H171">
            <v>1.3233661220226899E-5</v>
          </cell>
        </row>
        <row r="172">
          <cell r="A172" t="str">
            <v>T_C-MHY-GSL-S3</v>
          </cell>
          <cell r="B172" t="str">
            <v>VAR_fout</v>
          </cell>
          <cell r="C172" t="str">
            <v>CO2_T</v>
          </cell>
          <cell r="E172">
            <v>1.85283519547105E-2</v>
          </cell>
          <cell r="F172">
            <v>6.5245073040391288E-2</v>
          </cell>
          <cell r="G172">
            <v>8.1439285997096308E-2</v>
          </cell>
          <cell r="H172">
            <v>1.3475747280639161E-2</v>
          </cell>
        </row>
        <row r="173">
          <cell r="A173" t="str">
            <v>T_C-MHY-GSL-S3</v>
          </cell>
          <cell r="B173" t="str">
            <v>VAR_fout</v>
          </cell>
          <cell r="C173" t="str">
            <v>TPCAR</v>
          </cell>
          <cell r="E173">
            <v>9.7404377228871693E-5</v>
          </cell>
          <cell r="F173">
            <v>3.6078748736364228E-4</v>
          </cell>
          <cell r="G173">
            <v>4.6850702701647224E-4</v>
          </cell>
          <cell r="H173">
            <v>8.1717219089356903E-5</v>
          </cell>
        </row>
        <row r="174">
          <cell r="A174" t="str">
            <v>T_C-MHY-GSL-S3</v>
          </cell>
          <cell r="B174" t="str">
            <v>VAR_fin</v>
          </cell>
          <cell r="C174" t="str">
            <v>TGSL</v>
          </cell>
          <cell r="E174">
            <v>2.5106167960312287E-4</v>
          </cell>
          <cell r="F174">
            <v>8.8407958049310667E-4</v>
          </cell>
          <cell r="G174">
            <v>1.1035133603942604E-3</v>
          </cell>
          <cell r="H174">
            <v>1.8259820163467704E-4</v>
          </cell>
        </row>
        <row r="175">
          <cell r="A175" t="str">
            <v>T_C-MHY-GSL-S3</v>
          </cell>
          <cell r="B175" t="str">
            <v>VAR_ncap</v>
          </cell>
          <cell r="C175" t="str">
            <v>-</v>
          </cell>
          <cell r="E175">
            <v>7.0537374945907603E-6</v>
          </cell>
          <cell r="F175">
            <v>2.00261564928652E-5</v>
          </cell>
          <cell r="G175">
            <v>1.2057729455264901E-5</v>
          </cell>
        </row>
        <row r="176">
          <cell r="A176" t="str">
            <v>T_C-MHY-GSL-S3</v>
          </cell>
          <cell r="B176" t="str">
            <v>VAR_cap</v>
          </cell>
          <cell r="C176" t="str">
            <v>-</v>
          </cell>
          <cell r="E176">
            <v>6.9598300227894801E-6</v>
          </cell>
          <cell r="F176">
            <v>2.63210037716515E-5</v>
          </cell>
          <cell r="G176">
            <v>3.4071702136535999E-5</v>
          </cell>
          <cell r="H176">
            <v>6.2905813564283701E-6</v>
          </cell>
        </row>
        <row r="177">
          <cell r="A177" t="str">
            <v>T_C-MHY-DSL-S2</v>
          </cell>
          <cell r="B177" t="str">
            <v>VAR_fout</v>
          </cell>
          <cell r="C177" t="str">
            <v>CO2_T</v>
          </cell>
          <cell r="E177">
            <v>1.0556869650176E-2</v>
          </cell>
          <cell r="F177">
            <v>4.827811027477618E-2</v>
          </cell>
          <cell r="G177">
            <v>6.6513141471166104E-2</v>
          </cell>
          <cell r="H177">
            <v>1.233933640692865E-2</v>
          </cell>
        </row>
        <row r="178">
          <cell r="A178" t="str">
            <v>T_C-MHY-DSL-S2</v>
          </cell>
          <cell r="B178" t="str">
            <v>VAR_fout</v>
          </cell>
          <cell r="C178" t="str">
            <v>TPCAR</v>
          </cell>
          <cell r="E178">
            <v>6.5112908010925871E-5</v>
          </cell>
          <cell r="F178">
            <v>3.1149263104616212E-4</v>
          </cell>
          <cell r="G178">
            <v>4.452331677107567E-4</v>
          </cell>
          <cell r="H178">
            <v>8.5880232207606385E-5</v>
          </cell>
        </row>
        <row r="179">
          <cell r="A179" t="str">
            <v>T_C-MHY-DSL-S2</v>
          </cell>
          <cell r="B179" t="str">
            <v>VAR_fin</v>
          </cell>
          <cell r="C179" t="str">
            <v>TDSL</v>
          </cell>
          <cell r="E179">
            <v>1.4402277831072221E-4</v>
          </cell>
          <cell r="F179">
            <v>6.5863724795056113E-4</v>
          </cell>
          <cell r="G179">
            <v>9.074098427171365E-4</v>
          </cell>
          <cell r="H179">
            <v>1.6834019654745754E-4</v>
          </cell>
        </row>
        <row r="180">
          <cell r="A180" t="str">
            <v>T_C-MHY-DSL-S2</v>
          </cell>
          <cell r="B180" t="str">
            <v>VAR_ncap</v>
          </cell>
          <cell r="C180" t="str">
            <v>-</v>
          </cell>
          <cell r="E180">
            <v>5.3533425332044899E-6</v>
          </cell>
          <cell r="F180">
            <v>2.1692143899047E-5</v>
          </cell>
          <cell r="G180">
            <v>1.4769820271646001E-5</v>
          </cell>
        </row>
        <row r="181">
          <cell r="A181" t="str">
            <v>T_C-MHY-DSL-S2</v>
          </cell>
          <cell r="B181" t="str">
            <v>VAR_cap</v>
          </cell>
          <cell r="C181" t="str">
            <v>-</v>
          </cell>
          <cell r="E181">
            <v>5.2820726761443101E-6</v>
          </cell>
          <cell r="F181">
            <v>2.6383086909348998E-5</v>
          </cell>
          <cell r="G181">
            <v>3.6818433115790498E-5</v>
          </cell>
          <cell r="H181">
            <v>7.46854878251293E-6</v>
          </cell>
        </row>
        <row r="182">
          <cell r="A182" t="str">
            <v>T_C-MHY-GSL-S4</v>
          </cell>
          <cell r="B182" t="str">
            <v>VAR_fout</v>
          </cell>
          <cell r="C182" t="str">
            <v>CO2_T</v>
          </cell>
          <cell r="E182">
            <v>2.3186125250427101E-2</v>
          </cell>
          <cell r="F182">
            <v>8.6527107111431106E-2</v>
          </cell>
          <cell r="G182">
            <v>0.1180078120054916</v>
          </cell>
          <cell r="H182">
            <v>2.0855363175255989E-2</v>
          </cell>
        </row>
        <row r="183">
          <cell r="A183" t="str">
            <v>T_C-MHY-GSL-S4</v>
          </cell>
          <cell r="B183" t="str">
            <v>VAR_fout</v>
          </cell>
          <cell r="C183" t="str">
            <v>TPCAR</v>
          </cell>
          <cell r="E183">
            <v>1.2357280690131331E-4</v>
          </cell>
          <cell r="F183">
            <v>4.8524566950772452E-4</v>
          </cell>
          <cell r="G183">
            <v>6.9022611217279791E-4</v>
          </cell>
          <cell r="H183">
            <v>1.2789197071579235E-4</v>
          </cell>
        </row>
        <row r="184">
          <cell r="A184" t="str">
            <v>T_C-MHY-GSL-S4</v>
          </cell>
          <cell r="B184" t="str">
            <v>VAR_fin</v>
          </cell>
          <cell r="C184" t="str">
            <v>TGSL</v>
          </cell>
          <cell r="E184">
            <v>3.1417513889467558E-4</v>
          </cell>
          <cell r="F184">
            <v>1.1724540259001506E-3</v>
          </cell>
          <cell r="G184">
            <v>1.5990218428928416E-3</v>
          </cell>
          <cell r="H184">
            <v>2.8259299695468864E-4</v>
          </cell>
        </row>
        <row r="185">
          <cell r="A185" t="str">
            <v>T_C-MHY-GSL-S4</v>
          </cell>
          <cell r="B185" t="str">
            <v>VAR_ncap</v>
          </cell>
          <cell r="C185" t="str">
            <v>-</v>
          </cell>
          <cell r="E185">
            <v>1.02161370185497E-5</v>
          </cell>
          <cell r="F185">
            <v>3.4427391089853699E-5</v>
          </cell>
          <cell r="G185">
            <v>2.31713509177191E-5</v>
          </cell>
        </row>
        <row r="186">
          <cell r="A186" t="str">
            <v>T_C-MHY-GSL-S4</v>
          </cell>
          <cell r="B186" t="str">
            <v>VAR_cap</v>
          </cell>
          <cell r="C186" t="str">
            <v>-</v>
          </cell>
          <cell r="E186">
            <v>1.0080128044623E-5</v>
          </cell>
          <cell r="F186">
            <v>4.3472208833380398E-5</v>
          </cell>
          <cell r="G186">
            <v>5.9462898951726698E-5</v>
          </cell>
          <cell r="H186">
            <v>1.17499547561204E-5</v>
          </cell>
        </row>
        <row r="187">
          <cell r="A187" t="str">
            <v>T_C-MHY-DSL-S3</v>
          </cell>
          <cell r="B187" t="str">
            <v>VAR_fout</v>
          </cell>
          <cell r="C187" t="str">
            <v>CO2_T</v>
          </cell>
          <cell r="E187">
            <v>1.4291334129060701E-2</v>
          </cell>
          <cell r="F187">
            <v>5.0714311771366496E-2</v>
          </cell>
          <cell r="G187">
            <v>6.4405056262519592E-2</v>
          </cell>
          <cell r="H187">
            <v>1.087206047629426E-2</v>
          </cell>
        </row>
        <row r="188">
          <cell r="A188" t="str">
            <v>T_C-MHY-DSL-S3</v>
          </cell>
          <cell r="B188" t="str">
            <v>VAR_fout</v>
          </cell>
          <cell r="C188" t="str">
            <v>TPCAR</v>
          </cell>
          <cell r="E188">
            <v>8.1942473291896474E-5</v>
          </cell>
          <cell r="F188">
            <v>3.0330216363180047E-4</v>
          </cell>
          <cell r="G188">
            <v>3.9854704877383379E-4</v>
          </cell>
          <cell r="H188">
            <v>7.0347941954721413E-5</v>
          </cell>
        </row>
        <row r="189">
          <cell r="A189" t="str">
            <v>T_C-MHY-DSL-S3</v>
          </cell>
          <cell r="B189" t="str">
            <v>VAR_fin</v>
          </cell>
          <cell r="C189" t="str">
            <v>TDSL</v>
          </cell>
          <cell r="E189">
            <v>1.9497045196535659E-4</v>
          </cell>
          <cell r="F189">
            <v>6.9187328473897E-4</v>
          </cell>
          <cell r="G189">
            <v>8.786501536496539E-4</v>
          </cell>
          <cell r="H189">
            <v>1.4832278958109489E-4</v>
          </cell>
        </row>
        <row r="190">
          <cell r="A190" t="str">
            <v>T_C-MHY-DSL-S3</v>
          </cell>
          <cell r="B190" t="str">
            <v>VAR_ncap</v>
          </cell>
          <cell r="C190" t="str">
            <v>-</v>
          </cell>
          <cell r="E190">
            <v>5.9159066301786402E-6</v>
          </cell>
          <cell r="F190">
            <v>1.6636371872552101E-5</v>
          </cell>
          <cell r="G190">
            <v>1.02654836121571E-5</v>
          </cell>
        </row>
        <row r="191">
          <cell r="A191" t="str">
            <v>T_C-MHY-DSL-S3</v>
          </cell>
          <cell r="B191" t="str">
            <v>VAR_cap</v>
          </cell>
          <cell r="C191" t="str">
            <v>-</v>
          </cell>
          <cell r="E191">
            <v>5.8371472723943997E-6</v>
          </cell>
          <cell r="F191">
            <v>2.1917925996570801E-5</v>
          </cell>
          <cell r="G191">
            <v>2.8582223614416401E-5</v>
          </cell>
          <cell r="H191">
            <v>5.3210705846008604E-6</v>
          </cell>
        </row>
        <row r="192">
          <cell r="A192" t="str">
            <v>T_B_c-HYBDSL-S1</v>
          </cell>
          <cell r="B192" t="str">
            <v>VAR_fout</v>
          </cell>
          <cell r="C192" t="str">
            <v>CO2_T</v>
          </cell>
          <cell r="E192">
            <v>8.4606955449137197E-2</v>
          </cell>
          <cell r="F192">
            <v>9.7688935799756502E-2</v>
          </cell>
          <cell r="H192">
            <v>8.6415843666964799E-4</v>
          </cell>
          <cell r="I192">
            <v>2.8004113925440702E-4</v>
          </cell>
        </row>
        <row r="193">
          <cell r="A193" t="str">
            <v>T_B_c-HYBDSL-S1</v>
          </cell>
          <cell r="B193" t="str">
            <v>VAR_fout</v>
          </cell>
          <cell r="C193" t="str">
            <v>TPBSc</v>
          </cell>
          <cell r="E193">
            <v>1.8758239221620764E-4</v>
          </cell>
          <cell r="F193">
            <v>2.181401398049835E-4</v>
          </cell>
          <cell r="H193">
            <v>2.4126692556787874E-6</v>
          </cell>
          <cell r="I193">
            <v>7.8185506075508923E-7</v>
          </cell>
        </row>
        <row r="194">
          <cell r="A194" t="str">
            <v>T_B_c-HYBDSL-S1</v>
          </cell>
          <cell r="B194" t="str">
            <v>VAR_fin</v>
          </cell>
          <cell r="C194" t="str">
            <v>TDSL</v>
          </cell>
          <cell r="E194">
            <v>1.1542558724302484E-3</v>
          </cell>
          <cell r="F194">
            <v>1.3327276371044537E-3</v>
          </cell>
          <cell r="H194">
            <v>1.178933747161867E-5</v>
          </cell>
          <cell r="I194">
            <v>3.8204793895553535E-6</v>
          </cell>
        </row>
        <row r="195">
          <cell r="A195" t="str">
            <v>T_B_c-HYBDSL-S1</v>
          </cell>
          <cell r="B195" t="str">
            <v>VAR_ncap</v>
          </cell>
          <cell r="C195" t="str">
            <v>-</v>
          </cell>
          <cell r="E195">
            <v>4.1460383763138698E-6</v>
          </cell>
          <cell r="F195">
            <v>7.5413669226642904E-7</v>
          </cell>
          <cell r="H195">
            <v>6.0892038448679605E-8</v>
          </cell>
        </row>
        <row r="196">
          <cell r="A196" t="str">
            <v>T_B_c-HYBDSL-S1</v>
          </cell>
          <cell r="B196" t="str">
            <v>VAR_cap</v>
          </cell>
          <cell r="C196" t="str">
            <v>-</v>
          </cell>
          <cell r="E196">
            <v>4.1460383763138698E-6</v>
          </cell>
          <cell r="F196">
            <v>4.9001750685802996E-6</v>
          </cell>
          <cell r="G196">
            <v>1.0062877419680294E-8</v>
          </cell>
          <cell r="H196">
            <v>4.9533449834147298E-8</v>
          </cell>
          <cell r="I196">
            <v>4.0106182571633499E-8</v>
          </cell>
        </row>
        <row r="197">
          <cell r="A197" t="str">
            <v>T_C-MHY-DSL-S4</v>
          </cell>
          <cell r="B197" t="str">
            <v>VAR_fout</v>
          </cell>
          <cell r="C197" t="str">
            <v>CO2_T</v>
          </cell>
          <cell r="E197">
            <v>9.8325687878141697E-3</v>
          </cell>
          <cell r="F197">
            <v>2.6627473524936107E-2</v>
          </cell>
          <cell r="G197">
            <v>3.5694120626768799E-2</v>
          </cell>
          <cell r="H197">
            <v>6.3322367148286101E-3</v>
          </cell>
        </row>
        <row r="198">
          <cell r="A198" t="str">
            <v>T_C-MHY-DSL-S4</v>
          </cell>
          <cell r="B198" t="str">
            <v>VAR_fout</v>
          </cell>
          <cell r="C198" t="str">
            <v>TPCAR</v>
          </cell>
          <cell r="E198">
            <v>5.3580663945003243E-5</v>
          </cell>
          <cell r="F198">
            <v>1.506463283091508E-4</v>
          </cell>
          <cell r="G198">
            <v>2.0987209772300484E-4</v>
          </cell>
          <cell r="H198">
            <v>3.8980491399964871E-5</v>
          </cell>
        </row>
        <row r="199">
          <cell r="A199" t="str">
            <v>T_C-MHY-DSL-S4</v>
          </cell>
          <cell r="B199" t="str">
            <v>VAR_fin</v>
          </cell>
          <cell r="C199" t="str">
            <v>TDSL</v>
          </cell>
          <cell r="E199">
            <v>1.3414145685967485E-4</v>
          </cell>
          <cell r="F199">
            <v>3.632670330823484E-4</v>
          </cell>
          <cell r="G199">
            <v>4.8695935370762452E-4</v>
          </cell>
          <cell r="H199">
            <v>8.6387949724810471E-5</v>
          </cell>
        </row>
        <row r="200">
          <cell r="A200" t="str">
            <v>T_C-MHY-DSL-S4</v>
          </cell>
          <cell r="B200" t="str">
            <v>VAR_ncap</v>
          </cell>
          <cell r="C200" t="str">
            <v>-</v>
          </cell>
          <cell r="E200">
            <v>4.4807647072406602E-6</v>
          </cell>
          <cell r="F200">
            <v>9.1111523091392808E-6</v>
          </cell>
          <cell r="G200">
            <v>7.09866768314756E-6</v>
          </cell>
        </row>
        <row r="201">
          <cell r="A201" t="str">
            <v>T_C-MHY-DSL-S4</v>
          </cell>
          <cell r="B201" t="str">
            <v>VAR_cap</v>
          </cell>
          <cell r="C201" t="str">
            <v>-</v>
          </cell>
          <cell r="E201">
            <v>4.4211116104652196E-6</v>
          </cell>
          <cell r="F201">
            <v>1.31579071705028E-5</v>
          </cell>
          <cell r="G201">
            <v>1.7980171507631601E-5</v>
          </cell>
          <cell r="H201">
            <v>3.4797985146659098E-6</v>
          </cell>
        </row>
        <row r="202">
          <cell r="A202" t="str">
            <v>T_B_c-HYBDSL-S2</v>
          </cell>
          <cell r="B202" t="str">
            <v>VAR_fout</v>
          </cell>
          <cell r="C202" t="str">
            <v>CO2_T</v>
          </cell>
          <cell r="E202">
            <v>7.5727057584990404E-3</v>
          </cell>
          <cell r="F202">
            <v>1.399677219066507E-2</v>
          </cell>
          <cell r="H202">
            <v>1.4637790973303199E-3</v>
          </cell>
          <cell r="I202">
            <v>4.9283485169039696E-4</v>
          </cell>
        </row>
        <row r="203">
          <cell r="A203" t="str">
            <v>T_B_c-HYBDSL-S2</v>
          </cell>
          <cell r="B203" t="str">
            <v>VAR_fout</v>
          </cell>
          <cell r="C203" t="str">
            <v>TPBSc</v>
          </cell>
          <cell r="E203">
            <v>1.203511988456762E-5</v>
          </cell>
          <cell r="F203">
            <v>2.2740367922144346E-5</v>
          </cell>
          <cell r="H203">
            <v>2.9289986200686426E-6</v>
          </cell>
          <cell r="I203">
            <v>9.8615467535752053E-7</v>
          </cell>
        </row>
        <row r="204">
          <cell r="A204" t="str">
            <v>T_B_c-HYBDSL-S2</v>
          </cell>
          <cell r="B204" t="str">
            <v>VAR_fin</v>
          </cell>
          <cell r="C204" t="str">
            <v>TDSL</v>
          </cell>
          <cell r="E204">
            <v>1.0331112903818614E-4</v>
          </cell>
          <cell r="F204">
            <v>1.9095187163253857E-4</v>
          </cell>
          <cell r="H204">
            <v>1.996970119140957E-5</v>
          </cell>
          <cell r="I204">
            <v>6.7235314009604037E-6</v>
          </cell>
        </row>
        <row r="205">
          <cell r="A205" t="str">
            <v>T_B_c-HYBDSL-S2</v>
          </cell>
          <cell r="B205" t="str">
            <v>VAR_ncap</v>
          </cell>
          <cell r="C205" t="str">
            <v>-</v>
          </cell>
          <cell r="E205">
            <v>2.8027460304618201E-7</v>
          </cell>
          <cell r="F205">
            <v>2.31206585668487E-7</v>
          </cell>
          <cell r="H205">
            <v>6.7704322226131696E-8</v>
          </cell>
        </row>
        <row r="206">
          <cell r="A206" t="str">
            <v>T_B_c-HYBDSL-S2</v>
          </cell>
          <cell r="B206" t="str">
            <v>VAR_cap</v>
          </cell>
          <cell r="C206" t="str">
            <v>-</v>
          </cell>
          <cell r="E206">
            <v>2.8027460304618201E-7</v>
          </cell>
          <cell r="F206">
            <v>5.1148118871466895E-7</v>
          </cell>
          <cell r="G206">
            <v>9.7137801613389707E-9</v>
          </cell>
          <cell r="H206">
            <v>5.2773379919352902E-8</v>
          </cell>
          <cell r="I206">
            <v>3.7665209877421297E-8</v>
          </cell>
        </row>
        <row r="207">
          <cell r="A207" t="str">
            <v>T_C-BATELCEXT</v>
          </cell>
          <cell r="B207" t="str">
            <v>VAR_fout</v>
          </cell>
          <cell r="C207" t="str">
            <v>TPCAR</v>
          </cell>
          <cell r="D207">
            <v>0.41619583360497442</v>
          </cell>
          <cell r="E207">
            <v>0.36070440545247773</v>
          </cell>
          <cell r="F207">
            <v>0.27746286219777522</v>
          </cell>
          <cell r="G207">
            <v>0.1387319977790038</v>
          </cell>
        </row>
        <row r="208">
          <cell r="A208" t="str">
            <v>T_C-BATELCEXT</v>
          </cell>
          <cell r="B208" t="str">
            <v>VAR_fin</v>
          </cell>
          <cell r="C208" t="str">
            <v>T-ELC-car</v>
          </cell>
          <cell r="D208">
            <v>0.46789232328017066</v>
          </cell>
          <cell r="E208">
            <v>0.37693312167394483</v>
          </cell>
          <cell r="F208">
            <v>0.26222857942371325</v>
          </cell>
          <cell r="G208">
            <v>0.1130956121124823</v>
          </cell>
        </row>
        <row r="209">
          <cell r="A209" t="str">
            <v>T_C-BATELCEXT</v>
          </cell>
          <cell r="B209" t="str">
            <v>VAR_cap</v>
          </cell>
          <cell r="C209" t="str">
            <v>-</v>
          </cell>
          <cell r="D209">
            <v>4.2040000000000001E-2</v>
          </cell>
          <cell r="E209">
            <v>3.6434666666666699E-2</v>
          </cell>
          <cell r="F209">
            <v>2.8026528968191827E-2</v>
          </cell>
          <cell r="G209">
            <v>1.40133333333333E-2</v>
          </cell>
        </row>
        <row r="210">
          <cell r="A210" t="str">
            <v>D-TDSL</v>
          </cell>
          <cell r="B210" t="str">
            <v>VAR_fout</v>
          </cell>
          <cell r="C210" t="str">
            <v>CO2</v>
          </cell>
          <cell r="D210">
            <v>8675.3499641375201</v>
          </cell>
          <cell r="E210">
            <v>8259.88699926359</v>
          </cell>
          <cell r="F210">
            <v>7097.6309667968699</v>
          </cell>
          <cell r="G210">
            <v>4849.7813142395098</v>
          </cell>
          <cell r="H210">
            <v>2168.0059184001302</v>
          </cell>
          <cell r="I210">
            <v>2.39652100819377</v>
          </cell>
        </row>
        <row r="211">
          <cell r="A211" t="str">
            <v>D-TDSL</v>
          </cell>
          <cell r="B211" t="str">
            <v>VAR_fout</v>
          </cell>
          <cell r="C211" t="str">
            <v>TDSL</v>
          </cell>
          <cell r="D211">
            <v>116.61468093447232</v>
          </cell>
          <cell r="E211">
            <v>111.0299977471492</v>
          </cell>
          <cell r="F211">
            <v>95.406868196115965</v>
          </cell>
          <cell r="G211">
            <v>65.191110779383067</v>
          </cell>
          <cell r="H211">
            <v>29.142492174194853</v>
          </cell>
          <cell r="I211">
            <v>3.2214208519374829E-2</v>
          </cell>
        </row>
        <row r="212">
          <cell r="A212" t="str">
            <v>D-TDSL</v>
          </cell>
          <cell r="B212" t="str">
            <v>VAR_fin</v>
          </cell>
          <cell r="C212" t="str">
            <v>DSL</v>
          </cell>
          <cell r="D212">
            <v>118.35402406736033</v>
          </cell>
          <cell r="E212">
            <v>112.68604364616083</v>
          </cell>
          <cell r="F212">
            <v>96.829890406505726</v>
          </cell>
          <cell r="G212">
            <v>66.163455855927737</v>
          </cell>
          <cell r="H212">
            <v>29.577161233289708</v>
          </cell>
          <cell r="I212">
            <v>3.2694693154076068E-2</v>
          </cell>
        </row>
        <row r="213">
          <cell r="A213" t="str">
            <v>T_B_c-HYBDSL-S3</v>
          </cell>
          <cell r="B213" t="str">
            <v>VAR_fout</v>
          </cell>
          <cell r="C213" t="str">
            <v>CO2_T</v>
          </cell>
          <cell r="E213">
            <v>4.5032768737363598E-3</v>
          </cell>
          <cell r="F213">
            <v>7.87314210031991E-3</v>
          </cell>
          <cell r="G213">
            <v>1.3708211592616823E-3</v>
          </cell>
        </row>
        <row r="214">
          <cell r="A214" t="str">
            <v>T_B_c-HYBDSL-S3</v>
          </cell>
          <cell r="B214" t="str">
            <v>VAR_fout</v>
          </cell>
          <cell r="C214" t="str">
            <v>TPBSc</v>
          </cell>
          <cell r="E214">
            <v>4.8065156298930365E-6</v>
          </cell>
          <cell r="F214">
            <v>8.5762984463899994E-6</v>
          </cell>
          <cell r="G214">
            <v>1.5071347162296667E-6</v>
          </cell>
        </row>
        <row r="215">
          <cell r="A215" t="str">
            <v>T_B_c-HYBDSL-S3</v>
          </cell>
          <cell r="B215" t="str">
            <v>VAR_fin</v>
          </cell>
          <cell r="C215" t="str">
            <v>TDSL</v>
          </cell>
          <cell r="E215">
            <v>6.1436246572119465E-5</v>
          </cell>
          <cell r="F215">
            <v>1.0740985130040807E-4</v>
          </cell>
          <cell r="G215">
            <v>1.870151649743087E-5</v>
          </cell>
        </row>
        <row r="216">
          <cell r="A216" t="str">
            <v>T_B_c-HYBDSL-S3</v>
          </cell>
          <cell r="B216" t="str">
            <v>VAR_ncap</v>
          </cell>
          <cell r="C216" t="str">
            <v>-</v>
          </cell>
          <cell r="E216">
            <v>1.1990312568851199E-7</v>
          </cell>
          <cell r="F216">
            <v>9.0322448985926396E-8</v>
          </cell>
          <cell r="G216">
            <v>1.67278474059141E-8</v>
          </cell>
        </row>
        <row r="217">
          <cell r="A217" t="str">
            <v>T_B_c-HYBDSL-S3</v>
          </cell>
          <cell r="B217" t="str">
            <v>VAR_cap</v>
          </cell>
          <cell r="C217" t="str">
            <v>-</v>
          </cell>
          <cell r="E217">
            <v>1.1990312568851199E-7</v>
          </cell>
          <cell r="F217">
            <v>2.10225574674438E-7</v>
          </cell>
          <cell r="G217">
            <v>7.3259989855052002E-8</v>
          </cell>
        </row>
        <row r="218">
          <cell r="A218" t="str">
            <v>T-Bat-Car-STG_S1</v>
          </cell>
          <cell r="B218" t="str">
            <v>VAR_fout</v>
          </cell>
          <cell r="C218" t="str">
            <v>T-ELC-car-BatSTGAUXout_S1</v>
          </cell>
          <cell r="D218">
            <v>7.6834958475304437E-3</v>
          </cell>
          <cell r="E218">
            <v>1.39215413488424E-2</v>
          </cell>
          <cell r="F218">
            <v>1.1254466727807824E-2</v>
          </cell>
          <cell r="G218">
            <v>0.52874990403963873</v>
          </cell>
          <cell r="H218">
            <v>1.4774497954750785</v>
          </cell>
          <cell r="I218">
            <v>1.890285252010915</v>
          </cell>
        </row>
        <row r="219">
          <cell r="A219" t="str">
            <v>T-Bat-Car-STG_S1</v>
          </cell>
          <cell r="B219" t="str">
            <v>VAR_fout</v>
          </cell>
          <cell r="C219" t="str">
            <v>T-ELC-car-BatSTGOut_S1</v>
          </cell>
          <cell r="D219">
            <v>7.6834958475304428E-3</v>
          </cell>
          <cell r="E219">
            <v>1.3921541348842398E-2</v>
          </cell>
          <cell r="F219">
            <v>1.1254466727807824E-2</v>
          </cell>
          <cell r="G219">
            <v>0.52874990403963873</v>
          </cell>
          <cell r="H219">
            <v>1.4774497954750783</v>
          </cell>
          <cell r="I219">
            <v>1.8902852520109148</v>
          </cell>
        </row>
        <row r="220">
          <cell r="A220" t="str">
            <v>T-Bat-Car-STG_S1</v>
          </cell>
          <cell r="B220" t="str">
            <v>VAR_fin</v>
          </cell>
          <cell r="C220" t="str">
            <v>T-ELC-car-BatSTGAUXin_S1</v>
          </cell>
          <cell r="D220">
            <v>7.6859028465911597E-3</v>
          </cell>
          <cell r="E220">
            <v>1.3930848581676725E-2</v>
          </cell>
          <cell r="F220">
            <v>1.1282244874483106E-2</v>
          </cell>
          <cell r="G220">
            <v>0.52882359782420107</v>
          </cell>
          <cell r="H220">
            <v>1.4776129181351316</v>
          </cell>
          <cell r="I220">
            <v>1.8904880554230699</v>
          </cell>
        </row>
        <row r="221">
          <cell r="A221" t="str">
            <v>T-Bat-Car-STG_S1</v>
          </cell>
          <cell r="B221" t="str">
            <v>VAR_fin</v>
          </cell>
          <cell r="C221" t="str">
            <v>T-ELC-car-BatSTGin_S1</v>
          </cell>
          <cell r="D221">
            <v>7.6859028465911597E-3</v>
          </cell>
          <cell r="E221">
            <v>1.3930848581676725E-2</v>
          </cell>
          <cell r="F221">
            <v>1.1282244874483106E-2</v>
          </cell>
          <cell r="G221">
            <v>0.52882359782420107</v>
          </cell>
          <cell r="H221">
            <v>1.4776129181351316</v>
          </cell>
          <cell r="I221">
            <v>1.8904880554230699</v>
          </cell>
        </row>
        <row r="222">
          <cell r="A222" t="str">
            <v>T-Bat-Car-STG_S1</v>
          </cell>
          <cell r="B222" t="str">
            <v>VAR_ncap</v>
          </cell>
          <cell r="C222" t="str">
            <v>-</v>
          </cell>
          <cell r="D222">
            <v>3.3828507587009499E-3</v>
          </cell>
          <cell r="E222">
            <v>4.14441746630754E-2</v>
          </cell>
          <cell r="F222">
            <v>3.9027115886638902E-2</v>
          </cell>
          <cell r="G222">
            <v>11.4672626529652</v>
          </cell>
          <cell r="H222">
            <v>11.0595713136703</v>
          </cell>
          <cell r="I222">
            <v>20.046017566047801</v>
          </cell>
        </row>
        <row r="223">
          <cell r="A223" t="str">
            <v>T-Bat-Car-STG_S1</v>
          </cell>
          <cell r="B223" t="str">
            <v>VAR_cap</v>
          </cell>
          <cell r="C223" t="str">
            <v>-</v>
          </cell>
          <cell r="D223">
            <v>3.3828507587009499E-3</v>
          </cell>
          <cell r="E223">
            <v>4.4176617236981609E-2</v>
          </cell>
          <cell r="F223">
            <v>8.0096513415141804E-2</v>
          </cell>
          <cell r="G223">
            <v>10.939659155832404</v>
          </cell>
          <cell r="H223">
            <v>25.985861238530031</v>
          </cell>
          <cell r="I223">
            <v>25.907423296412333</v>
          </cell>
        </row>
        <row r="224">
          <cell r="A224" t="str">
            <v>T_B_c-HYBDSL-S4</v>
          </cell>
          <cell r="B224" t="str">
            <v>VAR_fout</v>
          </cell>
          <cell r="C224" t="str">
            <v>CO2_T</v>
          </cell>
          <cell r="E224">
            <v>1.9288464943514899E-4</v>
          </cell>
          <cell r="F224">
            <v>2.8108161829347884E-4</v>
          </cell>
        </row>
        <row r="225">
          <cell r="A225" t="str">
            <v>T_B_c-HYBDSL-S4</v>
          </cell>
          <cell r="B225" t="str">
            <v>VAR_fout</v>
          </cell>
          <cell r="C225" t="str">
            <v>TPBSc</v>
          </cell>
          <cell r="E225">
            <v>1.388123189482252E-7</v>
          </cell>
          <cell r="F225">
            <v>2.0443460382818549E-7</v>
          </cell>
        </row>
        <row r="226">
          <cell r="A226" t="str">
            <v>T_B_c-HYBDSL-S4</v>
          </cell>
          <cell r="B226" t="str">
            <v>VAR_fin</v>
          </cell>
          <cell r="C226" t="str">
            <v>TDSL</v>
          </cell>
          <cell r="E226">
            <v>2.6314413292653299E-6</v>
          </cell>
          <cell r="F226">
            <v>3.8346741922712033E-6</v>
          </cell>
        </row>
        <row r="227">
          <cell r="A227" t="str">
            <v>T_B_c-HYBDSL-S4</v>
          </cell>
          <cell r="B227" t="str">
            <v>VAR_ncap</v>
          </cell>
          <cell r="C227" t="str">
            <v>-</v>
          </cell>
          <cell r="E227">
            <v>1.4956827869647199E-8</v>
          </cell>
          <cell r="F227">
            <v>1.42926701828719E-8</v>
          </cell>
        </row>
        <row r="228">
          <cell r="A228" t="str">
            <v>T_B_c-HYBDSL-S4</v>
          </cell>
          <cell r="B228" t="str">
            <v>VAR_cap</v>
          </cell>
          <cell r="C228" t="str">
            <v>-</v>
          </cell>
          <cell r="E228">
            <v>1.4956827869647199E-8</v>
          </cell>
          <cell r="F228">
            <v>2.9249498052519099E-8</v>
          </cell>
          <cell r="G228">
            <v>6.5738789979073813E-9</v>
          </cell>
        </row>
        <row r="229">
          <cell r="A229" t="str">
            <v>TFHGV-ICEDSLExt</v>
          </cell>
          <cell r="B229" t="str">
            <v>VAR_fout</v>
          </cell>
          <cell r="C229" t="str">
            <v>CO2_T</v>
          </cell>
          <cell r="D229">
            <v>1410.20412784672</v>
          </cell>
          <cell r="E229">
            <v>1140.4429504924001</v>
          </cell>
          <cell r="F229">
            <v>841.39459734727996</v>
          </cell>
          <cell r="G229">
            <v>362.71697525094203</v>
          </cell>
        </row>
        <row r="230">
          <cell r="A230" t="str">
            <v>TFHGV-ICEDSLExt</v>
          </cell>
          <cell r="B230" t="str">
            <v>VAR_fout</v>
          </cell>
          <cell r="C230" t="str">
            <v>TFHGV</v>
          </cell>
          <cell r="D230">
            <v>1.5766902082344187</v>
          </cell>
          <cell r="E230">
            <v>1.3068606584543554</v>
          </cell>
          <cell r="F230">
            <v>0.99934300172822543</v>
          </cell>
          <cell r="G230">
            <v>0.4308069863627228</v>
          </cell>
        </row>
        <row r="231">
          <cell r="A231" t="str">
            <v>TFHGV-ICEDSLExt</v>
          </cell>
          <cell r="B231" t="str">
            <v>VAR_fin</v>
          </cell>
          <cell r="C231" t="str">
            <v>TDSL</v>
          </cell>
          <cell r="D231">
            <v>19.238801198454542</v>
          </cell>
          <cell r="E231">
            <v>15.558566855285063</v>
          </cell>
          <cell r="F231">
            <v>11.47878031851678</v>
          </cell>
          <cell r="G231">
            <v>4.9483898397127088</v>
          </cell>
        </row>
        <row r="232">
          <cell r="A232" t="str">
            <v>TFHGV-ICEDSLExt</v>
          </cell>
          <cell r="B232" t="str">
            <v>VAR_cap</v>
          </cell>
          <cell r="C232" t="str">
            <v>-</v>
          </cell>
          <cell r="D232">
            <v>2.9662000000000001E-2</v>
          </cell>
          <cell r="E232">
            <v>2.5707066666666702E-2</v>
          </cell>
          <cell r="F232">
            <v>1.9774666666666701E-2</v>
          </cell>
          <cell r="G232">
            <v>9.8873333333333296E-3</v>
          </cell>
        </row>
        <row r="233">
          <cell r="A233" t="str">
            <v>TPSHPGSLEXT</v>
          </cell>
          <cell r="B233" t="str">
            <v>VAR_fout</v>
          </cell>
          <cell r="C233" t="str">
            <v>TPSHP</v>
          </cell>
          <cell r="D233">
            <v>1.5951113482171899</v>
          </cell>
          <cell r="E233">
            <v>0.76652943199219103</v>
          </cell>
          <cell r="F233">
            <v>1.11635806939031E-4</v>
          </cell>
          <cell r="G233">
            <v>9.4715128417605302E-5</v>
          </cell>
          <cell r="H233">
            <v>1.07082465117756E-4</v>
          </cell>
        </row>
        <row r="234">
          <cell r="A234" t="str">
            <v>TPSHPGSLEXT</v>
          </cell>
          <cell r="B234" t="str">
            <v>VAR_fout</v>
          </cell>
          <cell r="C234" t="str">
            <v>CO2_T</v>
          </cell>
          <cell r="D234">
            <v>129.873812963153</v>
          </cell>
          <cell r="E234">
            <v>62.410752824604998</v>
          </cell>
          <cell r="F234">
            <v>9.0893766924766504E-3</v>
          </cell>
          <cell r="G234">
            <v>7.7116966703531797E-3</v>
          </cell>
          <cell r="H234">
            <v>8.7186440381610206E-3</v>
          </cell>
        </row>
        <row r="235">
          <cell r="A235" t="str">
            <v>TPSHPGSLEXT</v>
          </cell>
          <cell r="B235" t="str">
            <v>VAR_fin</v>
          </cell>
          <cell r="C235" t="str">
            <v>TGSL</v>
          </cell>
          <cell r="D235">
            <v>1.759807763728358</v>
          </cell>
          <cell r="E235">
            <v>0.84567415751497377</v>
          </cell>
          <cell r="F235">
            <v>1.2316228580591676E-4</v>
          </cell>
          <cell r="G235">
            <v>1.0449453482863394E-4</v>
          </cell>
          <cell r="H235">
            <v>1.181388081051627E-4</v>
          </cell>
        </row>
        <row r="236">
          <cell r="A236" t="str">
            <v>TPSHPGSLEXT</v>
          </cell>
          <cell r="B236" t="str">
            <v>VAR_ncap</v>
          </cell>
          <cell r="C236" t="str">
            <v>-</v>
          </cell>
          <cell r="D236">
            <v>5.7552662405152496E-7</v>
          </cell>
          <cell r="E236">
            <v>7.7129539397216104E-7</v>
          </cell>
          <cell r="F236">
            <v>1.71450825311732E-6</v>
          </cell>
          <cell r="G236">
            <v>1.74407194390741E-6</v>
          </cell>
          <cell r="H236">
            <v>2.8626775836797802E-6</v>
          </cell>
          <cell r="I236">
            <v>8.90597037185827E-7</v>
          </cell>
        </row>
        <row r="237">
          <cell r="A237" t="str">
            <v>TPSHPGSLEXT</v>
          </cell>
          <cell r="B237" t="str">
            <v>VAR_cap</v>
          </cell>
          <cell r="C237" t="str">
            <v>-</v>
          </cell>
          <cell r="D237">
            <v>1.5951119237438141</v>
          </cell>
          <cell r="E237">
            <v>1.5951126950392081</v>
          </cell>
          <cell r="F237">
            <v>1.1284158437097069E-4</v>
          </cell>
          <cell r="G237">
            <v>9.1753417674977911E-5</v>
          </cell>
          <cell r="H237">
            <v>3.0550524072636698E-5</v>
          </cell>
          <cell r="I237">
            <v>-1.7038848299026498E-6</v>
          </cell>
        </row>
        <row r="238">
          <cell r="A238" t="str">
            <v>T-Bat-Car-STG_S2</v>
          </cell>
          <cell r="B238" t="str">
            <v>VAR_fout</v>
          </cell>
          <cell r="C238" t="str">
            <v>T-ELC-car-BatSTGAUXout_S2</v>
          </cell>
          <cell r="D238">
            <v>6.6174464284292966E-2</v>
          </cell>
          <cell r="E238">
            <v>0.10275217293607589</v>
          </cell>
          <cell r="F238">
            <v>0.95641272792504328</v>
          </cell>
          <cell r="G238">
            <v>5.7865715978178018</v>
          </cell>
          <cell r="H238">
            <v>11.837017997551328</v>
          </cell>
          <cell r="I238">
            <v>10.759788546168284</v>
          </cell>
        </row>
        <row r="239">
          <cell r="A239" t="str">
            <v>T-Bat-Car-STG_S2</v>
          </cell>
          <cell r="B239" t="str">
            <v>VAR_fout</v>
          </cell>
          <cell r="C239" t="str">
            <v>T-ELC-car-BatSTGOut_S2</v>
          </cell>
          <cell r="D239">
            <v>6.6174464284292966E-2</v>
          </cell>
          <cell r="E239">
            <v>0.10275217293607589</v>
          </cell>
          <cell r="F239">
            <v>0.95641272792504295</v>
          </cell>
          <cell r="G239">
            <v>5.7865715978178018</v>
          </cell>
          <cell r="H239">
            <v>11.837017997551325</v>
          </cell>
          <cell r="I239">
            <v>10.759788546168283</v>
          </cell>
        </row>
        <row r="240">
          <cell r="A240" t="str">
            <v>T-Bat-Car-STG_S2</v>
          </cell>
          <cell r="B240" t="str">
            <v>VAR_fin</v>
          </cell>
          <cell r="C240" t="str">
            <v>T-ELC-car-BatSTGAUXin_S2</v>
          </cell>
          <cell r="D240">
            <v>6.6182920789706001E-2</v>
          </cell>
          <cell r="E240">
            <v>0.1027665145638843</v>
          </cell>
          <cell r="F240">
            <v>0.95652930999197916</v>
          </cell>
          <cell r="G240">
            <v>5.787163780432107</v>
          </cell>
          <cell r="H240">
            <v>11.838217892215756</v>
          </cell>
          <cell r="I240">
            <v>10.760876846478151</v>
          </cell>
        </row>
        <row r="241">
          <cell r="A241" t="str">
            <v>T-Bat-Car-STG_S2</v>
          </cell>
          <cell r="B241" t="str">
            <v>VAR_fin</v>
          </cell>
          <cell r="C241" t="str">
            <v>T-ELC-car-BatSTGin_S2</v>
          </cell>
          <cell r="D241">
            <v>6.6182920789706001E-2</v>
          </cell>
          <cell r="E241">
            <v>0.1027665145638843</v>
          </cell>
          <cell r="F241">
            <v>0.95652930999197916</v>
          </cell>
          <cell r="G241">
            <v>5.787163780432107</v>
          </cell>
          <cell r="H241">
            <v>11.838217892215756</v>
          </cell>
          <cell r="I241">
            <v>10.760876846478151</v>
          </cell>
        </row>
        <row r="242">
          <cell r="A242" t="str">
            <v>T-Bat-Car-STG_S2</v>
          </cell>
          <cell r="B242" t="str">
            <v>VAR_ncap</v>
          </cell>
          <cell r="C242" t="str">
            <v>-</v>
          </cell>
          <cell r="D242">
            <v>9.8301324789935307E-3</v>
          </cell>
          <cell r="E242">
            <v>2.1953925689261699E-2</v>
          </cell>
          <cell r="F242">
            <v>13.498121903296999</v>
          </cell>
          <cell r="G242">
            <v>78.845578587565001</v>
          </cell>
          <cell r="H242">
            <v>84.517080917069293</v>
          </cell>
          <cell r="I242">
            <v>177.94710904882399</v>
          </cell>
        </row>
        <row r="243">
          <cell r="A243" t="str">
            <v>T-Bat-Car-STG_S2</v>
          </cell>
          <cell r="B243" t="str">
            <v>VAR_cap</v>
          </cell>
          <cell r="C243" t="str">
            <v>-</v>
          </cell>
          <cell r="D243">
            <v>9.8301324789935307E-3</v>
          </cell>
          <cell r="E243">
            <v>3.1207755358310326E-2</v>
          </cell>
          <cell r="F243">
            <v>13.347711298514776</v>
          </cell>
          <cell r="G243">
            <v>86.482448758972907</v>
          </cell>
          <cell r="H243">
            <v>252.33526994895166</v>
          </cell>
          <cell r="I243">
            <v>235.36944562212321</v>
          </cell>
        </row>
        <row r="244">
          <cell r="A244" t="str">
            <v>T_TW-ICEGSL-S1</v>
          </cell>
          <cell r="B244" t="str">
            <v>VAR_fout</v>
          </cell>
          <cell r="C244" t="str">
            <v>CO2_T</v>
          </cell>
          <cell r="D244">
            <v>3.2684577881074577</v>
          </cell>
          <cell r="E244">
            <v>12.910781782742612</v>
          </cell>
          <cell r="F244">
            <v>25.594316133962099</v>
          </cell>
          <cell r="G244">
            <v>45.451826396599017</v>
          </cell>
          <cell r="H244">
            <v>66.00341923077859</v>
          </cell>
          <cell r="I244">
            <v>16.566579056329171</v>
          </cell>
        </row>
        <row r="245">
          <cell r="A245" t="str">
            <v>T_TW-ICEGSL-S1</v>
          </cell>
          <cell r="B245" t="str">
            <v>VAR_fout</v>
          </cell>
          <cell r="C245" t="str">
            <v>TPTWL</v>
          </cell>
          <cell r="D245">
            <v>8.4496437946141353E-2</v>
          </cell>
          <cell r="E245">
            <v>0.3360532453782919</v>
          </cell>
          <cell r="F245">
            <v>0.67163154138187287</v>
          </cell>
          <cell r="G245">
            <v>1.2148047226442356</v>
          </cell>
          <cell r="H245">
            <v>1.8474959007864487</v>
          </cell>
          <cell r="I245">
            <v>0.46649947765293542</v>
          </cell>
        </row>
        <row r="246">
          <cell r="A246" t="str">
            <v>T_TW-ICEGSL-S1</v>
          </cell>
          <cell r="B246" t="str">
            <v>VAR_fin</v>
          </cell>
          <cell r="C246" t="str">
            <v>TGSL</v>
          </cell>
          <cell r="D246">
            <v>4.4288045909315163E-2</v>
          </cell>
          <cell r="E246">
            <v>0.17494284258458814</v>
          </cell>
          <cell r="F246">
            <v>0.3468064516797037</v>
          </cell>
          <cell r="G246">
            <v>0.61587840645798153</v>
          </cell>
          <cell r="H246">
            <v>0.89435527412979166</v>
          </cell>
          <cell r="I246">
            <v>0.22447939100717068</v>
          </cell>
        </row>
        <row r="247">
          <cell r="A247" t="str">
            <v>T_TW-ICEGSL-S1</v>
          </cell>
          <cell r="B247" t="str">
            <v>VAR_ncap</v>
          </cell>
          <cell r="C247" t="str">
            <v>-</v>
          </cell>
          <cell r="E247">
            <v>8.2692982551018507E-2</v>
          </cell>
          <cell r="F247">
            <v>0.115518482338103</v>
          </cell>
          <cell r="G247">
            <v>0.236679670419947</v>
          </cell>
          <cell r="H247">
            <v>0.31202821011674597</v>
          </cell>
          <cell r="I247">
            <v>1.74495631552365E-4</v>
          </cell>
        </row>
        <row r="248">
          <cell r="A248" t="str">
            <v>T_TW-ICEGSL-S1</v>
          </cell>
          <cell r="B248" t="str">
            <v>VAR_cap</v>
          </cell>
          <cell r="C248" t="str">
            <v>-</v>
          </cell>
          <cell r="D248">
            <v>2.9121670711062659E-2</v>
          </cell>
          <cell r="E248">
            <v>0.11566509286080728</v>
          </cell>
          <cell r="F248">
            <v>0.2311837526148206</v>
          </cell>
          <cell r="G248">
            <v>0.44178281889782961</v>
          </cell>
          <cell r="H248">
            <v>0.74235982620043273</v>
          </cell>
          <cell r="I248">
            <v>0.22481984467099744</v>
          </cell>
        </row>
        <row r="249">
          <cell r="A249" t="str">
            <v>TPSHPDSLEXT</v>
          </cell>
          <cell r="B249" t="str">
            <v>VAR_fout</v>
          </cell>
          <cell r="C249" t="str">
            <v>TPSHP</v>
          </cell>
          <cell r="D249">
            <v>17.176521919007701</v>
          </cell>
          <cell r="E249">
            <v>17.1318620007901</v>
          </cell>
          <cell r="F249">
            <v>17.0247291535389</v>
          </cell>
          <cell r="G249">
            <v>16.1513812195535</v>
          </cell>
          <cell r="H249">
            <v>16.151364427550799</v>
          </cell>
          <cell r="I249">
            <v>16.151112766267701</v>
          </cell>
        </row>
        <row r="250">
          <cell r="A250" t="str">
            <v>TPSHPDSLEXT</v>
          </cell>
          <cell r="B250" t="str">
            <v>VAR_fout</v>
          </cell>
          <cell r="C250" t="str">
            <v>CO2_T</v>
          </cell>
          <cell r="D250">
            <v>1273.9831592043399</v>
          </cell>
          <cell r="E250">
            <v>1270.6707316960899</v>
          </cell>
          <cell r="F250">
            <v>1262.7246851192999</v>
          </cell>
          <cell r="G250">
            <v>1197.9484419852299</v>
          </cell>
          <cell r="H250">
            <v>1197.94719652187</v>
          </cell>
          <cell r="I250">
            <v>1197.92853079676</v>
          </cell>
        </row>
        <row r="251">
          <cell r="A251" t="str">
            <v>TPSHPDSLEXT</v>
          </cell>
          <cell r="B251" t="str">
            <v>VAR_fin</v>
          </cell>
          <cell r="C251" t="str">
            <v>TDSL</v>
          </cell>
          <cell r="D251">
            <v>17.38039780633471</v>
          </cell>
          <cell r="E251">
            <v>17.335207799400845</v>
          </cell>
          <cell r="F251">
            <v>17.226803344056044</v>
          </cell>
          <cell r="G251">
            <v>16.343089249457368</v>
          </cell>
          <cell r="H251">
            <v>16.343072258142982</v>
          </cell>
          <cell r="I251">
            <v>16.342817609778539</v>
          </cell>
        </row>
        <row r="252">
          <cell r="A252" t="str">
            <v>TPSHPDSLEXT</v>
          </cell>
          <cell r="B252" t="str">
            <v>VAR_ncap</v>
          </cell>
          <cell r="C252" t="str">
            <v>-</v>
          </cell>
          <cell r="D252">
            <v>1.10570908502287E-6</v>
          </cell>
          <cell r="E252">
            <v>4.0768246075629996E-6</v>
          </cell>
          <cell r="F252">
            <v>1.69387525072886E-6</v>
          </cell>
          <cell r="G252">
            <v>1.05385598355492E-6</v>
          </cell>
          <cell r="H252">
            <v>10.499529253051399</v>
          </cell>
          <cell r="I252">
            <v>5.6515433712727203</v>
          </cell>
        </row>
        <row r="253">
          <cell r="A253" t="str">
            <v>TPSHPDSLEXT</v>
          </cell>
          <cell r="B253" t="str">
            <v>VAR_cap</v>
          </cell>
          <cell r="C253" t="str">
            <v>-</v>
          </cell>
          <cell r="D253">
            <v>17.176523024716786</v>
          </cell>
          <cell r="E253">
            <v>17.176527101541392</v>
          </cell>
          <cell r="F253">
            <v>17.024730677001575</v>
          </cell>
          <cell r="G253">
            <v>16.15137747539594</v>
          </cell>
          <cell r="H253">
            <v>16.151273286761697</v>
          </cell>
          <cell r="I253">
            <v>16.151072007572505</v>
          </cell>
        </row>
        <row r="254">
          <cell r="A254" t="str">
            <v>T-Bat-Car-STG_S3</v>
          </cell>
          <cell r="B254" t="str">
            <v>VAR_fout</v>
          </cell>
          <cell r="C254" t="str">
            <v>T-ELC-car-BatSTGAUXout_S3</v>
          </cell>
          <cell r="D254">
            <v>4.6034608122136431E-2</v>
          </cell>
          <cell r="E254">
            <v>9.5205165978559783E-2</v>
          </cell>
          <cell r="F254">
            <v>0.11035526234396184</v>
          </cell>
          <cell r="G254">
            <v>9.5385532646885082E-2</v>
          </cell>
          <cell r="H254">
            <v>4.6618975455746305</v>
          </cell>
          <cell r="I254">
            <v>9.2963140925716878</v>
          </cell>
        </row>
        <row r="255">
          <cell r="A255" t="str">
            <v>T-Bat-Car-STG_S3</v>
          </cell>
          <cell r="B255" t="str">
            <v>VAR_fout</v>
          </cell>
          <cell r="C255" t="str">
            <v>T-ELC-car-BatSTGOut_S3</v>
          </cell>
          <cell r="D255">
            <v>4.6034608122136424E-2</v>
          </cell>
          <cell r="E255">
            <v>9.5205165978559783E-2</v>
          </cell>
          <cell r="F255">
            <v>0.11035526234396183</v>
          </cell>
          <cell r="G255">
            <v>9.5385532646885082E-2</v>
          </cell>
          <cell r="H255">
            <v>4.6618975455746305</v>
          </cell>
          <cell r="I255">
            <v>9.2963140925716878</v>
          </cell>
        </row>
        <row r="256">
          <cell r="A256" t="str">
            <v>T-Bat-Car-STG_S3</v>
          </cell>
          <cell r="B256" t="str">
            <v>VAR_fin</v>
          </cell>
          <cell r="C256" t="str">
            <v>T-ELC-car-BatSTGAUXin_S3</v>
          </cell>
          <cell r="D256">
            <v>4.6041388086798501E-2</v>
          </cell>
          <cell r="E256">
            <v>9.5218737133744361E-2</v>
          </cell>
          <cell r="F256">
            <v>0.11038358077526358</v>
          </cell>
          <cell r="G256">
            <v>9.5408241483247044E-2</v>
          </cell>
          <cell r="H256">
            <v>4.6623798826532532</v>
          </cell>
          <cell r="I256">
            <v>9.2972560129068516</v>
          </cell>
        </row>
        <row r="257">
          <cell r="A257" t="str">
            <v>T-Bat-Car-STG_S3</v>
          </cell>
          <cell r="B257" t="str">
            <v>VAR_fin</v>
          </cell>
          <cell r="C257" t="str">
            <v>T-ELC-car-BatSTGin_S3</v>
          </cell>
          <cell r="D257">
            <v>4.6041388086798501E-2</v>
          </cell>
          <cell r="E257">
            <v>9.5218737133744361E-2</v>
          </cell>
          <cell r="F257">
            <v>0.11038358077526358</v>
          </cell>
          <cell r="G257">
            <v>9.5408241483247044E-2</v>
          </cell>
          <cell r="H257">
            <v>4.6623798826532532</v>
          </cell>
          <cell r="I257">
            <v>9.2972560129068516</v>
          </cell>
        </row>
        <row r="258">
          <cell r="A258" t="str">
            <v>T-Bat-Car-STG_S3</v>
          </cell>
          <cell r="B258" t="str">
            <v>VAR_ncap</v>
          </cell>
          <cell r="C258" t="str">
            <v>-</v>
          </cell>
          <cell r="D258">
            <v>8.5752883049715397E-3</v>
          </cell>
          <cell r="E258">
            <v>0.42785378181692402</v>
          </cell>
          <cell r="F258">
            <v>0.284068615046072</v>
          </cell>
          <cell r="G258">
            <v>3.1209425436742599E-2</v>
          </cell>
          <cell r="H258">
            <v>63.288110186276697</v>
          </cell>
          <cell r="I258">
            <v>125.218591199272</v>
          </cell>
        </row>
        <row r="259">
          <cell r="A259" t="str">
            <v>T-Bat-Car-STG_S3</v>
          </cell>
          <cell r="B259" t="str">
            <v>VAR_cap</v>
          </cell>
          <cell r="C259" t="str">
            <v>-</v>
          </cell>
          <cell r="D259">
            <v>8.5752883049715397E-3</v>
          </cell>
          <cell r="E259">
            <v>0.43048369109319712</v>
          </cell>
          <cell r="F259">
            <v>0.68581970653945656</v>
          </cell>
          <cell r="G259">
            <v>0.60093127636629184</v>
          </cell>
          <cell r="H259">
            <v>68.674780309977308</v>
          </cell>
          <cell r="I259">
            <v>141.13277862494539</v>
          </cell>
        </row>
        <row r="260">
          <cell r="A260" t="str">
            <v>T_TW-ICEGSL-S2</v>
          </cell>
          <cell r="B260" t="str">
            <v>VAR_fout</v>
          </cell>
          <cell r="C260" t="str">
            <v>CO2_T</v>
          </cell>
          <cell r="D260">
            <v>8.2888086226172408</v>
          </cell>
          <cell r="E260">
            <v>12.024814372429347</v>
          </cell>
          <cell r="F260">
            <v>12.027970749534481</v>
          </cell>
          <cell r="G260">
            <v>7.4924627222778</v>
          </cell>
          <cell r="H260">
            <v>2.1866911545065579E-2</v>
          </cell>
          <cell r="I260">
            <v>1.0005252824447499E-2</v>
          </cell>
        </row>
        <row r="261">
          <cell r="A261" t="str">
            <v>T_TW-ICEGSL-S2</v>
          </cell>
          <cell r="B261" t="str">
            <v>VAR_fout</v>
          </cell>
          <cell r="C261" t="str">
            <v>TPTWL</v>
          </cell>
          <cell r="D261">
            <v>0.12385625117448114</v>
          </cell>
          <cell r="E261">
            <v>0.17993155137211916</v>
          </cell>
          <cell r="F261">
            <v>0.17998171541245744</v>
          </cell>
          <cell r="G261">
            <v>0.11214555282340768</v>
          </cell>
          <cell r="H261">
            <v>3.4963915080569736E-4</v>
          </cell>
          <cell r="I261">
            <v>1.641883399272344E-4</v>
          </cell>
        </row>
        <row r="262">
          <cell r="A262" t="str">
            <v>T_TW-ICEGSL-S2</v>
          </cell>
          <cell r="B262" t="str">
            <v>VAR_fin</v>
          </cell>
          <cell r="C262" t="str">
            <v>TGSL</v>
          </cell>
          <cell r="D262">
            <v>0.11231447998126343</v>
          </cell>
          <cell r="E262">
            <v>0.16293786412505856</v>
          </cell>
          <cell r="F262">
            <v>0.16298063346252661</v>
          </cell>
          <cell r="G262">
            <v>0.10152388512571543</v>
          </cell>
          <cell r="H262">
            <v>2.9629961443178277E-4</v>
          </cell>
          <cell r="I262">
            <v>1.3557253149657834E-4</v>
          </cell>
        </row>
        <row r="263">
          <cell r="A263" t="str">
            <v>T_TW-ICEGSL-S2</v>
          </cell>
          <cell r="B263" t="str">
            <v>VAR_ncap</v>
          </cell>
          <cell r="C263" t="str">
            <v>-</v>
          </cell>
          <cell r="E263">
            <v>4.6478442649306299E-5</v>
          </cell>
          <cell r="F263">
            <v>5.4423224123219899E-5</v>
          </cell>
          <cell r="G263">
            <v>6.2846970176449297E-5</v>
          </cell>
          <cell r="H263">
            <v>4.18681665699975E-5</v>
          </cell>
          <cell r="I263">
            <v>1.9659939751373001E-5</v>
          </cell>
        </row>
        <row r="264">
          <cell r="A264" t="str">
            <v>T_TW-ICEGSL-S2</v>
          </cell>
          <cell r="B264" t="str">
            <v>VAR_cap</v>
          </cell>
          <cell r="C264" t="str">
            <v>-</v>
          </cell>
          <cell r="D264">
            <v>4.2720561209407953E-2</v>
          </cell>
          <cell r="E264">
            <v>6.1934084901529123E-2</v>
          </cell>
          <cell r="F264">
            <v>6.1989149272372243E-2</v>
          </cell>
          <cell r="G264">
            <v>5.3756803489231564E-2</v>
          </cell>
          <cell r="H264">
            <v>1.3813329296791284E-4</v>
          </cell>
          <cell r="I264">
            <v>6.8771446479182086E-5</v>
          </cell>
        </row>
        <row r="265">
          <cell r="A265" t="str">
            <v>T-Bat-Car-STG_S4</v>
          </cell>
          <cell r="B265" t="str">
            <v>VAR_fout</v>
          </cell>
          <cell r="C265" t="str">
            <v>T-ELC-car-BatSTGAUXout_S4</v>
          </cell>
          <cell r="D265">
            <v>0.14966214077676968</v>
          </cell>
          <cell r="E265">
            <v>1.0543275074919385</v>
          </cell>
          <cell r="F265">
            <v>2.683590055087834</v>
          </cell>
          <cell r="G265">
            <v>9.8368413395400207</v>
          </cell>
          <cell r="H265">
            <v>16.503699272956386</v>
          </cell>
          <cell r="I265">
            <v>15.743610958858111</v>
          </cell>
        </row>
        <row r="266">
          <cell r="A266" t="str">
            <v>T-Bat-Car-STG_S4</v>
          </cell>
          <cell r="B266" t="str">
            <v>VAR_fout</v>
          </cell>
          <cell r="C266" t="str">
            <v>T-ELC-car-BatSTGOut_S4</v>
          </cell>
          <cell r="D266">
            <v>0.14966214077676965</v>
          </cell>
          <cell r="E266">
            <v>1.0543275074919385</v>
          </cell>
          <cell r="F266">
            <v>2.6835900550878331</v>
          </cell>
          <cell r="G266">
            <v>9.8368413395400207</v>
          </cell>
          <cell r="H266">
            <v>16.503699272956382</v>
          </cell>
          <cell r="I266">
            <v>15.743610958858106</v>
          </cell>
        </row>
        <row r="267">
          <cell r="A267" t="str">
            <v>T-Bat-Car-STG_S4</v>
          </cell>
          <cell r="B267" t="str">
            <v>VAR_fin</v>
          </cell>
          <cell r="C267" t="str">
            <v>T-ELC-car-BatSTGAUXin_S4</v>
          </cell>
          <cell r="D267">
            <v>0.14967931285713784</v>
          </cell>
          <cell r="E267">
            <v>1.0544370004717432</v>
          </cell>
          <cell r="F267">
            <v>2.6838757462808736</v>
          </cell>
          <cell r="G267">
            <v>9.8378383384757928</v>
          </cell>
          <cell r="H267">
            <v>16.505364149222924</v>
          </cell>
          <cell r="I267">
            <v>15.745197714433006</v>
          </cell>
        </row>
        <row r="268">
          <cell r="A268" t="str">
            <v>T-Bat-Car-STG_S4</v>
          </cell>
          <cell r="B268" t="str">
            <v>VAR_fin</v>
          </cell>
          <cell r="C268" t="str">
            <v>T-ELC-car-BatSTGin_S4</v>
          </cell>
          <cell r="D268">
            <v>0.14967931285713784</v>
          </cell>
          <cell r="E268">
            <v>1.0544370004717432</v>
          </cell>
          <cell r="F268">
            <v>2.6838757462808736</v>
          </cell>
          <cell r="G268">
            <v>9.8378383384757928</v>
          </cell>
          <cell r="H268">
            <v>16.505364149222924</v>
          </cell>
          <cell r="I268">
            <v>15.745197714433006</v>
          </cell>
        </row>
        <row r="269">
          <cell r="A269" t="str">
            <v>T-Bat-Car-STG_S4</v>
          </cell>
          <cell r="B269" t="str">
            <v>VAR_ncap</v>
          </cell>
          <cell r="C269" t="str">
            <v>-</v>
          </cell>
          <cell r="D269">
            <v>2.3164653771772001E-2</v>
          </cell>
          <cell r="E269">
            <v>12.8613424571118</v>
          </cell>
          <cell r="F269">
            <v>27.4131046956314</v>
          </cell>
          <cell r="G269">
            <v>124.543213589722</v>
          </cell>
          <cell r="H269">
            <v>126.540910197885</v>
          </cell>
          <cell r="I269">
            <v>263.94553201486298</v>
          </cell>
        </row>
        <row r="270">
          <cell r="A270" t="str">
            <v>T-Bat-Car-STG_S4</v>
          </cell>
          <cell r="B270" t="str">
            <v>VAR_cap</v>
          </cell>
          <cell r="C270" t="str">
            <v>-</v>
          </cell>
          <cell r="D270">
            <v>2.3164653771772001E-2</v>
          </cell>
          <cell r="E270">
            <v>12.712608248869136</v>
          </cell>
          <cell r="F270">
            <v>39.026233883204611</v>
          </cell>
          <cell r="G270">
            <v>151.45678802468854</v>
          </cell>
          <cell r="H270">
            <v>287.64277435772925</v>
          </cell>
          <cell r="I270">
            <v>323.07213702736675</v>
          </cell>
        </row>
        <row r="271">
          <cell r="A271" t="str">
            <v>T_TW-ICEGSL-S3</v>
          </cell>
          <cell r="B271" t="str">
            <v>VAR_fout</v>
          </cell>
          <cell r="C271" t="str">
            <v>CO2_T</v>
          </cell>
          <cell r="D271">
            <v>11.761698985097789</v>
          </cell>
          <cell r="E271">
            <v>14.552062232096464</v>
          </cell>
          <cell r="F271">
            <v>14.708849042871121</v>
          </cell>
          <cell r="G271">
            <v>14.527531038414974</v>
          </cell>
          <cell r="H271">
            <v>3.3774728887347103</v>
          </cell>
          <cell r="I271">
            <v>9.9136487760445712E-3</v>
          </cell>
        </row>
        <row r="272">
          <cell r="A272" t="str">
            <v>T_TW-ICEGSL-S3</v>
          </cell>
          <cell r="B272" t="str">
            <v>VAR_fout</v>
          </cell>
          <cell r="C272" t="str">
            <v>TPTWL</v>
          </cell>
          <cell r="D272">
            <v>0.11625068530489695</v>
          </cell>
          <cell r="E272">
            <v>0.14397719653690733</v>
          </cell>
          <cell r="F272">
            <v>0.14552966619832036</v>
          </cell>
          <cell r="G272">
            <v>0.14373839893386475</v>
          </cell>
          <cell r="H272">
            <v>3.3468682602660137E-2</v>
          </cell>
          <cell r="I272">
            <v>1.0638821426215065E-4</v>
          </cell>
        </row>
        <row r="273">
          <cell r="A273" t="str">
            <v>T_TW-ICEGSL-S3</v>
          </cell>
          <cell r="B273" t="str">
            <v>VAR_fin</v>
          </cell>
          <cell r="C273" t="str">
            <v>TGSL</v>
          </cell>
          <cell r="D273">
            <v>0.15937261497422489</v>
          </cell>
          <cell r="E273">
            <v>0.19718241506905754</v>
          </cell>
          <cell r="F273">
            <v>0.19930689759987963</v>
          </cell>
          <cell r="G273">
            <v>0.19685001407066371</v>
          </cell>
          <cell r="H273">
            <v>4.5765215294508242E-2</v>
          </cell>
          <cell r="I273">
            <v>1.3433128422824615E-4</v>
          </cell>
        </row>
        <row r="274">
          <cell r="A274" t="str">
            <v>T_TW-ICEGSL-S3</v>
          </cell>
          <cell r="B274" t="str">
            <v>VAR_ncap</v>
          </cell>
          <cell r="C274" t="str">
            <v>-</v>
          </cell>
          <cell r="E274">
            <v>2.1208724457909001E-5</v>
          </cell>
          <cell r="F274">
            <v>2.4916462002930999E-5</v>
          </cell>
          <cell r="G274">
            <v>2.4825381359769098E-5</v>
          </cell>
          <cell r="H274">
            <v>1.3448803471145699E-5</v>
          </cell>
          <cell r="I274">
            <v>8.6374918364112204E-6</v>
          </cell>
        </row>
        <row r="275">
          <cell r="A275" t="str">
            <v>T_TW-ICEGSL-S3</v>
          </cell>
          <cell r="B275" t="str">
            <v>VAR_cap</v>
          </cell>
          <cell r="C275" t="str">
            <v>-</v>
          </cell>
          <cell r="D275">
            <v>5.3235300595057003E-2</v>
          </cell>
          <cell r="E275">
            <v>6.9079198449907162E-2</v>
          </cell>
          <cell r="F275">
            <v>6.9105085772512953E-2</v>
          </cell>
          <cell r="G275">
            <v>6.9130831829933639E-2</v>
          </cell>
          <cell r="H275">
            <v>1.6028889962784305E-2</v>
          </cell>
          <cell r="I275">
            <v>4.3731037361981488E-5</v>
          </cell>
        </row>
        <row r="276">
          <cell r="A276" t="str">
            <v>T_C-ICEGSLEXT</v>
          </cell>
          <cell r="B276" t="str">
            <v>VAR_fout</v>
          </cell>
          <cell r="C276" t="str">
            <v>CO2_T</v>
          </cell>
          <cell r="D276">
            <v>4722.2885105392597</v>
          </cell>
          <cell r="E276">
            <v>3863.2231069293798</v>
          </cell>
          <cell r="F276">
            <v>3162.7585518168898</v>
          </cell>
          <cell r="G276">
            <v>942.78009809986395</v>
          </cell>
        </row>
        <row r="277">
          <cell r="A277" t="str">
            <v>T_C-ICEGSLEXT</v>
          </cell>
          <cell r="B277" t="str">
            <v>VAR_fout</v>
          </cell>
          <cell r="C277" t="str">
            <v>TPCAR</v>
          </cell>
          <cell r="D277">
            <v>18.302989135468195</v>
          </cell>
          <cell r="E277">
            <v>15.314096449726215</v>
          </cell>
          <cell r="F277">
            <v>12.955836129928823</v>
          </cell>
          <cell r="G277">
            <v>4.0698606756940663</v>
          </cell>
        </row>
        <row r="278">
          <cell r="A278" t="str">
            <v>T_C-ICEGSLEXT</v>
          </cell>
          <cell r="B278" t="str">
            <v>VAR_fin</v>
          </cell>
          <cell r="C278" t="str">
            <v>TGSL</v>
          </cell>
          <cell r="D278">
            <v>63.987649194298903</v>
          </cell>
          <cell r="E278">
            <v>52.347196570858827</v>
          </cell>
          <cell r="F278">
            <v>42.855806935188248</v>
          </cell>
          <cell r="G278">
            <v>12.774798077233941</v>
          </cell>
        </row>
        <row r="279">
          <cell r="A279" t="str">
            <v>T_C-ICEGSLEXT</v>
          </cell>
          <cell r="B279" t="str">
            <v>VAR_cap</v>
          </cell>
          <cell r="C279" t="str">
            <v>-</v>
          </cell>
          <cell r="D279">
            <v>2.4943270000000002</v>
          </cell>
          <cell r="E279">
            <v>2.16175006666667</v>
          </cell>
          <cell r="F279">
            <v>1.6628846666666701</v>
          </cell>
          <cell r="G279">
            <v>0.83144199136773511</v>
          </cell>
        </row>
        <row r="280">
          <cell r="A280" t="str">
            <v>T_TW-ICEGSL-S4</v>
          </cell>
          <cell r="B280" t="str">
            <v>VAR_fout</v>
          </cell>
          <cell r="C280" t="str">
            <v>CO2_T</v>
          </cell>
          <cell r="D280">
            <v>7.7086803650029605</v>
          </cell>
          <cell r="E280">
            <v>9.2896819020293027</v>
          </cell>
          <cell r="F280">
            <v>9.389298964199746</v>
          </cell>
          <cell r="G280">
            <v>9.2878323783728653</v>
          </cell>
          <cell r="H280">
            <v>8.4224895898589374</v>
          </cell>
          <cell r="I280">
            <v>6.0748295320645261E-2</v>
          </cell>
        </row>
        <row r="281">
          <cell r="A281" t="str">
            <v>T_TW-ICEGSL-S4</v>
          </cell>
          <cell r="B281" t="str">
            <v>VAR_fout</v>
          </cell>
          <cell r="C281" t="str">
            <v>TPTWL</v>
          </cell>
          <cell r="D281">
            <v>7.0589959723603823E-2</v>
          </cell>
          <cell r="E281">
            <v>8.5144576641455819E-2</v>
          </cell>
          <cell r="F281">
            <v>8.6058307475359239E-2</v>
          </cell>
          <cell r="G281">
            <v>8.5129394883779796E-2</v>
          </cell>
          <cell r="H281">
            <v>7.7208526936342892E-2</v>
          </cell>
          <cell r="I281">
            <v>5.6303703374790948E-4</v>
          </cell>
        </row>
        <row r="282">
          <cell r="A282" t="str">
            <v>T_TW-ICEGSL-S4</v>
          </cell>
          <cell r="B282" t="str">
            <v>VAR_fin</v>
          </cell>
          <cell r="C282" t="str">
            <v>TGSL</v>
          </cell>
          <cell r="D282">
            <v>0.10445366348242499</v>
          </cell>
          <cell r="E282">
            <v>0.1258764485369824</v>
          </cell>
          <cell r="F282">
            <v>0.12722627322763858</v>
          </cell>
          <cell r="G282">
            <v>0.12585138724082431</v>
          </cell>
          <cell r="H282">
            <v>0.11412587520134079</v>
          </cell>
          <cell r="I282">
            <v>8.2314763307107493E-4</v>
          </cell>
        </row>
        <row r="283">
          <cell r="A283" t="str">
            <v>T_TW-ICEGSL-S4</v>
          </cell>
          <cell r="B283" t="str">
            <v>VAR_ncap</v>
          </cell>
          <cell r="C283" t="str">
            <v>-</v>
          </cell>
          <cell r="E283">
            <v>1.11173814514976E-5</v>
          </cell>
          <cell r="F283">
            <v>1.1930963865464899E-5</v>
          </cell>
          <cell r="G283">
            <v>1.0043952313816901E-5</v>
          </cell>
          <cell r="H283">
            <v>7.3341798730235697E-6</v>
          </cell>
          <cell r="I283">
            <v>4.8309868431981801E-6</v>
          </cell>
        </row>
        <row r="284">
          <cell r="A284" t="str">
            <v>T_TW-ICEGSL-S4</v>
          </cell>
          <cell r="B284" t="str">
            <v>VAR_cap</v>
          </cell>
          <cell r="C284" t="str">
            <v>-</v>
          </cell>
          <cell r="D284">
            <v>3.2744142125846677E-2</v>
          </cell>
          <cell r="E284">
            <v>4.0884276206283592E-2</v>
          </cell>
          <cell r="F284">
            <v>4.0897187758329068E-2</v>
          </cell>
          <cell r="G284">
            <v>4.0908138651134157E-2</v>
          </cell>
          <cell r="H284">
            <v>3.7070853709203405E-2</v>
          </cell>
          <cell r="I284">
            <v>2.5753904790459196E-4</v>
          </cell>
        </row>
        <row r="285">
          <cell r="A285" t="str">
            <v>T_C-ICEDSLEXT</v>
          </cell>
          <cell r="B285" t="str">
            <v>VAR_fout</v>
          </cell>
          <cell r="C285" t="str">
            <v>CO2_T</v>
          </cell>
          <cell r="D285">
            <v>3821.27748658869</v>
          </cell>
          <cell r="E285">
            <v>3569.7776190993</v>
          </cell>
          <cell r="F285">
            <v>2582.91131834207</v>
          </cell>
          <cell r="G285">
            <v>1122.70600078141</v>
          </cell>
        </row>
        <row r="286">
          <cell r="A286" t="str">
            <v>T_C-ICEDSLEXT</v>
          </cell>
          <cell r="B286" t="str">
            <v>VAR_fout</v>
          </cell>
          <cell r="C286" t="str">
            <v>TPCAR</v>
          </cell>
          <cell r="D286">
            <v>17.673721180183637</v>
          </cell>
          <cell r="E286">
            <v>17.23595151532275</v>
          </cell>
          <cell r="F286">
            <v>13.258401949837891</v>
          </cell>
          <cell r="G286">
            <v>6.3333692281412235</v>
          </cell>
        </row>
        <row r="287">
          <cell r="A287" t="str">
            <v>T_C-ICEDSLEXT</v>
          </cell>
          <cell r="B287" t="str">
            <v>VAR_fin</v>
          </cell>
          <cell r="C287" t="str">
            <v>TDSL</v>
          </cell>
          <cell r="D287">
            <v>52.132025737908506</v>
          </cell>
          <cell r="E287">
            <v>48.700922497944141</v>
          </cell>
          <cell r="F287">
            <v>35.237535038773103</v>
          </cell>
          <cell r="G287">
            <v>15.31658936945982</v>
          </cell>
        </row>
        <row r="288">
          <cell r="A288" t="str">
            <v>T_C-ICEDSLEXT</v>
          </cell>
          <cell r="B288" t="str">
            <v>VAR_cap</v>
          </cell>
          <cell r="C288" t="str">
            <v>-</v>
          </cell>
          <cell r="D288">
            <v>1.059558</v>
          </cell>
          <cell r="E288">
            <v>0.91828359999999998</v>
          </cell>
          <cell r="F288">
            <v>0.70637196699671456</v>
          </cell>
          <cell r="G288">
            <v>0.35318594286991578</v>
          </cell>
        </row>
        <row r="289">
          <cell r="A289" t="str">
            <v>T-Plg-ELC-GSL_S1</v>
          </cell>
          <cell r="B289" t="str">
            <v>VAR_fout</v>
          </cell>
          <cell r="C289" t="str">
            <v>T-PEVmix-ELC_GSL_S1</v>
          </cell>
          <cell r="E289">
            <v>5.3037631531893363E-5</v>
          </cell>
          <cell r="F289">
            <v>7.7728052195509537E-5</v>
          </cell>
          <cell r="G289">
            <v>1.4896515903306082E-4</v>
          </cell>
          <cell r="H289">
            <v>1.3239668935367967E-4</v>
          </cell>
          <cell r="I289">
            <v>4.6011606381220989E-5</v>
          </cell>
        </row>
        <row r="290">
          <cell r="A290" t="str">
            <v>T-Plg-ELC-GSL_S1</v>
          </cell>
          <cell r="B290" t="str">
            <v>VAR_fin</v>
          </cell>
          <cell r="C290" t="str">
            <v>T-ELC-car-PlgSTGOut_S1</v>
          </cell>
          <cell r="E290">
            <v>2.9118986938439558E-5</v>
          </cell>
          <cell r="F290">
            <v>4.2674645742247277E-5</v>
          </cell>
          <cell r="G290">
            <v>8.178560005187748E-5</v>
          </cell>
          <cell r="H290">
            <v>6.9389313650296893E-5</v>
          </cell>
          <cell r="I290">
            <v>2.266791504580096E-5</v>
          </cell>
        </row>
        <row r="291">
          <cell r="A291" t="str">
            <v>T-Plg-ELC-GSL_S2</v>
          </cell>
          <cell r="B291" t="str">
            <v>VAR_fout</v>
          </cell>
          <cell r="C291" t="str">
            <v>T-PEVmix-ELC_GSL_S2</v>
          </cell>
          <cell r="D291">
            <v>8.2397434544968643E-4</v>
          </cell>
          <cell r="E291">
            <v>1.095066469090023E-2</v>
          </cell>
          <cell r="F291">
            <v>2.5848712058646451E-3</v>
          </cell>
          <cell r="G291">
            <v>1.622939042999259E-3</v>
          </cell>
          <cell r="H291">
            <v>4.7564675081625745E-4</v>
          </cell>
          <cell r="I291">
            <v>1.4001326551622446E-4</v>
          </cell>
        </row>
        <row r="292">
          <cell r="A292" t="str">
            <v>T-Plg-ELC-GSL_S2</v>
          </cell>
          <cell r="B292" t="str">
            <v>VAR_fin</v>
          </cell>
          <cell r="C292" t="str">
            <v>T-ELC-car-PlgSTGOut_S2</v>
          </cell>
          <cell r="D292">
            <v>5.4816983570245043E-4</v>
          </cell>
          <cell r="E292">
            <v>7.2852074795694615E-3</v>
          </cell>
          <cell r="F292">
            <v>1.7196511421208309E-3</v>
          </cell>
          <cell r="G292">
            <v>1.0797013687003439E-3</v>
          </cell>
          <cell r="H292">
            <v>3.009364951364682E-4</v>
          </cell>
          <cell r="I292">
            <v>8.3043474394896478E-5</v>
          </cell>
        </row>
        <row r="293">
          <cell r="A293" t="str">
            <v>T-Plg-ELC-DSL_S1</v>
          </cell>
          <cell r="B293" t="str">
            <v>VAR_fout</v>
          </cell>
          <cell r="C293" t="str">
            <v>T-PEVmix-ELC_DSL_S1</v>
          </cell>
          <cell r="E293">
            <v>3.1465892037961196E-5</v>
          </cell>
          <cell r="F293">
            <v>5.8463134352038066E-5</v>
          </cell>
          <cell r="G293">
            <v>1.287114720903064E-4</v>
          </cell>
          <cell r="H293">
            <v>1.3355084454268705E-4</v>
          </cell>
          <cell r="I293">
            <v>4.6105818912133417E-5</v>
          </cell>
        </row>
        <row r="294">
          <cell r="A294" t="str">
            <v>T-Plg-ELC-DSL_S1</v>
          </cell>
          <cell r="B294" t="str">
            <v>VAR_fin</v>
          </cell>
          <cell r="C294" t="str">
            <v>T-ELC-car-PlgSTGOut_S1</v>
          </cell>
          <cell r="E294">
            <v>1.7275562139473869E-5</v>
          </cell>
          <cell r="F294">
            <v>3.209772375588699E-5</v>
          </cell>
          <cell r="G294">
            <v>7.0665819086796695E-5</v>
          </cell>
          <cell r="H294">
            <v>6.9993930776846594E-5</v>
          </cell>
          <cell r="I294">
            <v>2.2714285559082998E-5</v>
          </cell>
        </row>
        <row r="295">
          <cell r="A295" t="str">
            <v>T_TRM_ELC</v>
          </cell>
          <cell r="B295" t="str">
            <v>VAR_fout</v>
          </cell>
          <cell r="C295" t="str">
            <v>TPTRM</v>
          </cell>
          <cell r="D295">
            <v>3.3477999999999994E-2</v>
          </cell>
          <cell r="E295">
            <v>3.4238693943285006E-2</v>
          </cell>
          <cell r="F295">
            <v>3.5370833501607003E-2</v>
          </cell>
          <cell r="G295">
            <v>3.726366700321395E-2</v>
          </cell>
          <cell r="H295">
            <v>3.9048512196511807E-2</v>
          </cell>
          <cell r="I295">
            <v>4.0347931071859175E-2</v>
          </cell>
        </row>
        <row r="296">
          <cell r="A296" t="str">
            <v>T_TRM_ELC</v>
          </cell>
          <cell r="B296" t="str">
            <v>VAR_fin</v>
          </cell>
          <cell r="C296" t="str">
            <v>TELC</v>
          </cell>
          <cell r="D296">
            <v>0.58772895164057959</v>
          </cell>
          <cell r="E296">
            <v>0.61504030570008339</v>
          </cell>
          <cell r="F296">
            <v>0.65830556959273911</v>
          </cell>
          <cell r="G296">
            <v>0.7379148962536346</v>
          </cell>
          <cell r="H296">
            <v>0.77325934733858914</v>
          </cell>
          <cell r="I296">
            <v>0.79899112903654423</v>
          </cell>
        </row>
        <row r="297">
          <cell r="A297" t="str">
            <v>T-Plg-ELC-GSL_S3</v>
          </cell>
          <cell r="B297" t="str">
            <v>VAR_fout</v>
          </cell>
          <cell r="C297" t="str">
            <v>T-PEVmix-ELC_GSL_S3</v>
          </cell>
          <cell r="E297">
            <v>0.10729253065694069</v>
          </cell>
          <cell r="F297">
            <v>0.23107171163116788</v>
          </cell>
          <cell r="G297">
            <v>1.5619734966364389</v>
          </cell>
          <cell r="H297">
            <v>2.8102578411315275</v>
          </cell>
          <cell r="I297">
            <v>0.99977584751292281</v>
          </cell>
        </row>
        <row r="298">
          <cell r="A298" t="str">
            <v>T-Plg-ELC-GSL_S3</v>
          </cell>
          <cell r="B298" t="str">
            <v>VAR_fin</v>
          </cell>
          <cell r="C298" t="str">
            <v>T-ELC-car-PlgSTGOut_S3</v>
          </cell>
          <cell r="E298">
            <v>7.6573798150594105E-2</v>
          </cell>
          <cell r="F298">
            <v>0.16491398326070444</v>
          </cell>
          <cell r="G298">
            <v>1.1147676591807458</v>
          </cell>
          <cell r="H298">
            <v>1.8256364757996602</v>
          </cell>
          <cell r="I298">
            <v>0.59433471014025019</v>
          </cell>
        </row>
        <row r="299">
          <cell r="A299" t="str">
            <v>T-Plg-ELC-DSL_S2</v>
          </cell>
          <cell r="B299" t="str">
            <v>VAR_fout</v>
          </cell>
          <cell r="C299" t="str">
            <v>T-PEVmix-ELC_DSL_S2</v>
          </cell>
          <cell r="E299">
            <v>3.1705673180411367E-5</v>
          </cell>
          <cell r="F299">
            <v>1.4849409208821091E-4</v>
          </cell>
          <cell r="G299">
            <v>3.516003423325315E-4</v>
          </cell>
          <cell r="H299">
            <v>5.4702423728561825E-4</v>
          </cell>
          <cell r="I299">
            <v>1.4340818838553591E-4</v>
          </cell>
        </row>
        <row r="300">
          <cell r="A300" t="str">
            <v>T-Plg-ELC-DSL_S2</v>
          </cell>
          <cell r="B300" t="str">
            <v>VAR_fin</v>
          </cell>
          <cell r="C300" t="str">
            <v>T-ELC-car-PlgSTGOut_S2</v>
          </cell>
          <cell r="E300">
            <v>2.109300338550763E-5</v>
          </cell>
          <cell r="F300">
            <v>9.8789461725722549E-5</v>
          </cell>
          <cell r="G300">
            <v>2.3391104705348863E-4</v>
          </cell>
          <cell r="H300">
            <v>3.4588336378613659E-4</v>
          </cell>
          <cell r="I300">
            <v>8.5041661953993736E-5</v>
          </cell>
        </row>
        <row r="301">
          <cell r="A301" t="str">
            <v>T_TW-ICEGSLEXT</v>
          </cell>
          <cell r="B301" t="str">
            <v>VAR_fout</v>
          </cell>
          <cell r="C301" t="str">
            <v>CO2_T</v>
          </cell>
          <cell r="D301">
            <v>146.80199123719399</v>
          </cell>
          <cell r="E301">
            <v>110.544064101573</v>
          </cell>
          <cell r="F301">
            <v>76.820466255633505</v>
          </cell>
          <cell r="G301">
            <v>33.438229086063501</v>
          </cell>
        </row>
        <row r="302">
          <cell r="A302" t="str">
            <v>T_TW-ICEGSLEXT</v>
          </cell>
          <cell r="B302" t="str">
            <v>VAR_fout</v>
          </cell>
          <cell r="C302" t="str">
            <v>TPTWL</v>
          </cell>
          <cell r="D302">
            <v>1.5339915045718227</v>
          </cell>
          <cell r="E302">
            <v>1.1791940977116928</v>
          </cell>
          <cell r="F302">
            <v>0.84455480320980103</v>
          </cell>
          <cell r="G302">
            <v>0.38582244296700291</v>
          </cell>
        </row>
        <row r="303">
          <cell r="A303" t="str">
            <v>T_TW-ICEGSLEXT</v>
          </cell>
          <cell r="B303" t="str">
            <v>VAR_fin</v>
          </cell>
          <cell r="C303" t="str">
            <v>TGSL</v>
          </cell>
          <cell r="D303">
            <v>1.9891868731327116</v>
          </cell>
          <cell r="E303">
            <v>1.4978870474467925</v>
          </cell>
          <cell r="F303">
            <v>1.0409277270411035</v>
          </cell>
          <cell r="G303">
            <v>0.45309253504151054</v>
          </cell>
        </row>
        <row r="304">
          <cell r="A304" t="str">
            <v>T_TW-ICEGSLEXT</v>
          </cell>
          <cell r="B304" t="str">
            <v>VAR_cap</v>
          </cell>
          <cell r="C304" t="str">
            <v>-</v>
          </cell>
          <cell r="D304">
            <v>0.55779800000000002</v>
          </cell>
          <cell r="E304">
            <v>0.48342493333333297</v>
          </cell>
          <cell r="F304">
            <v>0.37186448680383605</v>
          </cell>
          <cell r="G304">
            <v>0.18593222696477726</v>
          </cell>
        </row>
        <row r="305">
          <cell r="A305" t="str">
            <v>T-Plg-ELC-GSL_S4</v>
          </cell>
          <cell r="B305" t="str">
            <v>VAR_fout</v>
          </cell>
          <cell r="C305" t="str">
            <v>T-PEVmix-ELC_GSL_S4</v>
          </cell>
          <cell r="E305">
            <v>2.3564595521948305E-2</v>
          </cell>
          <cell r="F305">
            <v>5.811551022807635E-3</v>
          </cell>
          <cell r="G305">
            <v>8.5432453353321055E-3</v>
          </cell>
          <cell r="H305">
            <v>1.3948559210744955E-3</v>
          </cell>
          <cell r="I305">
            <v>2.3301088907285401E-4</v>
          </cell>
        </row>
        <row r="306">
          <cell r="A306" t="str">
            <v>T-Plg-ELC-GSL_S4</v>
          </cell>
          <cell r="B306" t="str">
            <v>VAR_fin</v>
          </cell>
          <cell r="C306" t="str">
            <v>T-ELC-car-PlgSTGOut_S4</v>
          </cell>
          <cell r="E306">
            <v>1.7593402895587331E-2</v>
          </cell>
          <cell r="F306">
            <v>4.33892270704521E-3</v>
          </cell>
          <cell r="G306">
            <v>6.378414476936353E-3</v>
          </cell>
          <cell r="H306">
            <v>9.8582047299218415E-4</v>
          </cell>
          <cell r="I306">
            <v>1.5540322004478955E-4</v>
          </cell>
        </row>
        <row r="307">
          <cell r="A307" t="str">
            <v>T-Plg-ELC-DSL_S3</v>
          </cell>
          <cell r="B307" t="str">
            <v>VAR_fout</v>
          </cell>
          <cell r="C307" t="str">
            <v>T-PEVmix-ELC_DSL_S3</v>
          </cell>
          <cell r="E307">
            <v>3.811772348750303E-4</v>
          </cell>
          <cell r="F307">
            <v>0.18913314696036215</v>
          </cell>
          <cell r="G307">
            <v>1.1258584368566564</v>
          </cell>
          <cell r="H307">
            <v>2.0110021822270285</v>
          </cell>
          <cell r="I307">
            <v>0.69763658600588196</v>
          </cell>
        </row>
        <row r="308">
          <cell r="A308" t="str">
            <v>T-Plg-ELC-DSL_S3</v>
          </cell>
          <cell r="B308" t="str">
            <v>VAR_fin</v>
          </cell>
          <cell r="C308" t="str">
            <v>T-ELC-car-PlgSTGOut_S3</v>
          </cell>
          <cell r="E308">
            <v>2.7204306268298421E-4</v>
          </cell>
          <cell r="F308">
            <v>0.13498277401282033</v>
          </cell>
          <cell r="G308">
            <v>0.80351592195787158</v>
          </cell>
          <cell r="H308">
            <v>1.3066744180580134</v>
          </cell>
          <cell r="I308">
            <v>0.41584027569003668</v>
          </cell>
        </row>
        <row r="309">
          <cell r="A309" t="str">
            <v>T-Plg-ELC-DSL_S4</v>
          </cell>
          <cell r="B309" t="str">
            <v>VAR_fout</v>
          </cell>
          <cell r="C309" t="str">
            <v>T-PEVmix-ELC_DSL_S4</v>
          </cell>
          <cell r="E309">
            <v>1.402971963640717E-3</v>
          </cell>
          <cell r="F309">
            <v>4.3992834184855534E-4</v>
          </cell>
          <cell r="G309">
            <v>5.507730036133536E-4</v>
          </cell>
          <cell r="H309">
            <v>2.3820438249911977E-3</v>
          </cell>
          <cell r="I309">
            <v>2.3480194623167673E-4</v>
          </cell>
        </row>
        <row r="310">
          <cell r="A310" t="str">
            <v>T-Plg-ELC-DSL_S4</v>
          </cell>
          <cell r="B310" t="str">
            <v>VAR_fin</v>
          </cell>
          <cell r="C310" t="str">
            <v>T-ELC-car-PlgSTGOut_S4</v>
          </cell>
          <cell r="E310">
            <v>1.0474633856776543E-3</v>
          </cell>
          <cell r="F310">
            <v>3.2845191661025282E-4</v>
          </cell>
          <cell r="G310">
            <v>4.1120889800791069E-4</v>
          </cell>
          <cell r="H310">
            <v>1.673144981480579E-3</v>
          </cell>
          <cell r="I310">
            <v>1.5657201534708304E-4</v>
          </cell>
        </row>
        <row r="311">
          <cell r="A311" t="str">
            <v>TFLGV-ICENGA</v>
          </cell>
          <cell r="B311" t="str">
            <v>VAR_fout</v>
          </cell>
          <cell r="C311" t="str">
            <v>CO2_T</v>
          </cell>
          <cell r="D311">
            <v>1.4426270667807981</v>
          </cell>
          <cell r="E311">
            <v>1.2618351283711791</v>
          </cell>
          <cell r="F311">
            <v>1.7757549308875553</v>
          </cell>
          <cell r="G311">
            <v>6.2779563264446893E-3</v>
          </cell>
          <cell r="H311">
            <v>3.54571048787057E-4</v>
          </cell>
        </row>
        <row r="312">
          <cell r="A312" t="str">
            <v>TFLGV-ICENGA</v>
          </cell>
          <cell r="B312" t="str">
            <v>VAR_fout</v>
          </cell>
          <cell r="C312" t="str">
            <v>TFLGV</v>
          </cell>
          <cell r="D312">
            <v>8.1998750443867882E-3</v>
          </cell>
          <cell r="E312">
            <v>7.172255822393777E-3</v>
          </cell>
          <cell r="F312">
            <v>1.0093369851450427E-2</v>
          </cell>
          <cell r="G312">
            <v>3.5683828895459016E-5</v>
          </cell>
          <cell r="H312">
            <v>2.0153776130784422E-6</v>
          </cell>
        </row>
        <row r="313">
          <cell r="A313" t="str">
            <v>TFLGV-ICENGA</v>
          </cell>
          <cell r="B313" t="str">
            <v>VAR_fin</v>
          </cell>
          <cell r="C313" t="str">
            <v>TNGA</v>
          </cell>
          <cell r="D313">
            <v>2.5578494091858101E-2</v>
          </cell>
          <cell r="E313">
            <v>2.2372963268992539E-2</v>
          </cell>
          <cell r="F313">
            <v>3.1485016505098537E-2</v>
          </cell>
          <cell r="G313">
            <v>1.1131128238377101E-4</v>
          </cell>
          <cell r="H313">
            <v>6.286720723174771E-6</v>
          </cell>
        </row>
        <row r="314">
          <cell r="A314" t="str">
            <v>TFLGV-ICENGA</v>
          </cell>
          <cell r="B314" t="str">
            <v>VAR_ncap</v>
          </cell>
          <cell r="C314" t="str">
            <v>-</v>
          </cell>
          <cell r="D314">
            <v>1.0030377293356299E-8</v>
          </cell>
          <cell r="E314">
            <v>1.0581693574871799E-6</v>
          </cell>
          <cell r="F314">
            <v>6.2986585130144399E-7</v>
          </cell>
          <cell r="G314">
            <v>9.1623384792079699E-7</v>
          </cell>
        </row>
        <row r="315">
          <cell r="A315" t="str">
            <v>TFLGV-ICENGA</v>
          </cell>
          <cell r="B315" t="str">
            <v>VAR_cap</v>
          </cell>
          <cell r="C315" t="str">
            <v>-</v>
          </cell>
          <cell r="D315">
            <v>5.8280097473360326E-4</v>
          </cell>
          <cell r="E315">
            <v>7.0989934130120567E-4</v>
          </cell>
          <cell r="F315">
            <v>7.10687194348561E-4</v>
          </cell>
          <cell r="G315">
            <v>2.649492426919412E-6</v>
          </cell>
          <cell r="H315">
            <v>1.62285101300623E-7</v>
          </cell>
        </row>
        <row r="316">
          <cell r="A316" t="str">
            <v>TFLGV-BEVELC</v>
          </cell>
          <cell r="B316" t="str">
            <v>VAR_fout</v>
          </cell>
          <cell r="C316" t="str">
            <v>TFLGV</v>
          </cell>
          <cell r="D316">
            <v>2.4180783462534029E-2</v>
          </cell>
          <cell r="E316">
            <v>5.3734534068908511E-2</v>
          </cell>
          <cell r="F316">
            <v>7.9864127855992034E-2</v>
          </cell>
          <cell r="G316">
            <v>1.141429008935692</v>
          </cell>
          <cell r="H316">
            <v>4.996732099988658</v>
          </cell>
          <cell r="I316">
            <v>5.4049693719970593</v>
          </cell>
        </row>
        <row r="317">
          <cell r="A317" t="str">
            <v>TFLGV-BEVELC</v>
          </cell>
          <cell r="B317" t="str">
            <v>VAR_fin</v>
          </cell>
          <cell r="C317" t="str">
            <v>T-ELC-LGV_BatSTGout</v>
          </cell>
          <cell r="D317">
            <v>3.5489124255527985E-2</v>
          </cell>
          <cell r="E317">
            <v>7.8863927603466916E-2</v>
          </cell>
          <cell r="F317">
            <v>0.11721323924149027</v>
          </cell>
          <cell r="G317">
            <v>1.6752276033465545</v>
          </cell>
          <cell r="H317">
            <v>7.3334946587995749</v>
          </cell>
          <cell r="I317">
            <v>7.9326474238244034</v>
          </cell>
        </row>
        <row r="318">
          <cell r="A318" t="str">
            <v>TFLGV-BEVELC</v>
          </cell>
          <cell r="B318" t="str">
            <v>VAR_ncap</v>
          </cell>
          <cell r="C318" t="str">
            <v>-</v>
          </cell>
          <cell r="E318">
            <v>1.15962310737389E-3</v>
          </cell>
          <cell r="F318">
            <v>1.82663948940412E-3</v>
          </cell>
          <cell r="G318">
            <v>7.5959433467374701E-2</v>
          </cell>
          <cell r="H318">
            <v>0.21700606841995099</v>
          </cell>
          <cell r="I318">
            <v>0.38586477567610999</v>
          </cell>
        </row>
        <row r="319">
          <cell r="A319" t="str">
            <v>TFLGV-BEVELC</v>
          </cell>
          <cell r="B319" t="str">
            <v>VAR_cap</v>
          </cell>
          <cell r="C319" t="str">
            <v>-</v>
          </cell>
          <cell r="D319">
            <v>1.698866678189664E-3</v>
          </cell>
          <cell r="E319">
            <v>3.7516231073738901E-3</v>
          </cell>
          <cell r="F319">
            <v>5.5782625967780103E-3</v>
          </cell>
          <cell r="G319">
            <v>8.0574070205622669E-2</v>
          </cell>
          <cell r="H319">
            <v>0.47062794667483637</v>
          </cell>
          <cell r="I319">
            <v>0.53684118388678326</v>
          </cell>
        </row>
        <row r="320">
          <cell r="A320" t="str">
            <v>T_B_c-BEVELC-S1</v>
          </cell>
          <cell r="B320" t="str">
            <v>VAR_fout</v>
          </cell>
          <cell r="C320" t="str">
            <v>TPBSc</v>
          </cell>
          <cell r="D320">
            <v>1.4142795804462317E-4</v>
          </cell>
          <cell r="E320">
            <v>5.9287152669838003E-4</v>
          </cell>
          <cell r="F320">
            <v>7.9559720198188509E-4</v>
          </cell>
          <cell r="G320">
            <v>6.4723772327458004E-2</v>
          </cell>
          <cell r="H320">
            <v>6.486413061885718E-2</v>
          </cell>
          <cell r="I320">
            <v>6.3148445828673974E-2</v>
          </cell>
        </row>
        <row r="321">
          <cell r="A321" t="str">
            <v>T_B_c-BEVELC-S1</v>
          </cell>
          <cell r="B321" t="str">
            <v>VAR_fin</v>
          </cell>
          <cell r="C321" t="str">
            <v>T-ELC-Bus_c_BatSTGout_S1</v>
          </cell>
          <cell r="D321">
            <v>3.7346314031717301E-4</v>
          </cell>
          <cell r="E321">
            <v>1.5322732366876795E-3</v>
          </cell>
          <cell r="F321">
            <v>2.0227361169205399E-3</v>
          </cell>
          <cell r="G321">
            <v>0.14468690073525248</v>
          </cell>
          <cell r="H321">
            <v>0.13762856191592843</v>
          </cell>
          <cell r="I321">
            <v>0.11880609322142066</v>
          </cell>
        </row>
        <row r="322">
          <cell r="A322" t="str">
            <v>T_B_c-BEVELC-S1</v>
          </cell>
          <cell r="B322" t="str">
            <v>VAR_ncap</v>
          </cell>
          <cell r="C322" t="str">
            <v>-</v>
          </cell>
          <cell r="E322">
            <v>6.1774798492090704E-6</v>
          </cell>
          <cell r="F322">
            <v>4.5222887161511404E-6</v>
          </cell>
          <cell r="G322">
            <v>1.4113364595212501E-3</v>
          </cell>
          <cell r="H322">
            <v>1.2997544282515199E-5</v>
          </cell>
          <cell r="I322">
            <v>1.1982948720189999E-3</v>
          </cell>
        </row>
        <row r="323">
          <cell r="A323" t="str">
            <v>T_B_c-BEVELC-S1</v>
          </cell>
          <cell r="B323" t="str">
            <v>VAR_cap</v>
          </cell>
          <cell r="C323" t="str">
            <v>-</v>
          </cell>
          <cell r="D323">
            <v>3.3382648106010007E-6</v>
          </cell>
          <cell r="E323">
            <v>1.292026831074753E-5</v>
          </cell>
          <cell r="F323">
            <v>1.744255702689866E-5</v>
          </cell>
          <cell r="G323">
            <v>1.4117686098531822E-3</v>
          </cell>
          <cell r="H323">
            <v>1.4094893835099179E-3</v>
          </cell>
          <cell r="I323">
            <v>1.4497662997531775E-3</v>
          </cell>
        </row>
        <row r="324">
          <cell r="A324" t="str">
            <v>T_B_c-BEVELC-S2</v>
          </cell>
          <cell r="B324" t="str">
            <v>VAR_fout</v>
          </cell>
          <cell r="C324" t="str">
            <v>TPBSc</v>
          </cell>
          <cell r="D324">
            <v>1.6069747530089262E-4</v>
          </cell>
          <cell r="E324">
            <v>2.0645216281842024E-4</v>
          </cell>
          <cell r="F324">
            <v>2.4525070170003475E-4</v>
          </cell>
          <cell r="G324">
            <v>5.7405215914760666E-2</v>
          </cell>
          <cell r="H324">
            <v>5.7536049385820652E-2</v>
          </cell>
          <cell r="I324">
            <v>5.6007730571140356E-2</v>
          </cell>
        </row>
        <row r="325">
          <cell r="A325" t="str">
            <v>T_B_c-BEVELC-S2</v>
          </cell>
          <cell r="B325" t="str">
            <v>VAR_fin</v>
          </cell>
          <cell r="C325" t="str">
            <v>T-ELC-Bus_c_BatSTGout_S2</v>
          </cell>
          <cell r="D325">
            <v>5.8397072324306327E-4</v>
          </cell>
          <cell r="E325">
            <v>7.3989066991224448E-4</v>
          </cell>
          <cell r="F325">
            <v>8.714554299777339E-4</v>
          </cell>
          <cell r="G325">
            <v>0.17699278179854414</v>
          </cell>
          <cell r="H325">
            <v>0.16399033829529364</v>
          </cell>
          <cell r="I325">
            <v>0.14829414820271797</v>
          </cell>
        </row>
        <row r="326">
          <cell r="A326" t="str">
            <v>T_B_c-BEVELC-S2</v>
          </cell>
          <cell r="B326" t="str">
            <v>VAR_ncap</v>
          </cell>
          <cell r="C326" t="str">
            <v>-</v>
          </cell>
          <cell r="E326">
            <v>3.8618478422129998E-7</v>
          </cell>
          <cell r="F326">
            <v>7.04611385930644E-7</v>
          </cell>
          <cell r="G326">
            <v>1.2467884085173801E-3</v>
          </cell>
          <cell r="H326">
            <v>9.3335099549282305E-4</v>
          </cell>
          <cell r="I326">
            <v>7.2870814510614195E-4</v>
          </cell>
        </row>
        <row r="327">
          <cell r="A327" t="str">
            <v>T_B_c-BEVELC-S2</v>
          </cell>
          <cell r="B327" t="str">
            <v>VAR_cap</v>
          </cell>
          <cell r="C327" t="str">
            <v>-</v>
          </cell>
          <cell r="D327">
            <v>3.9296770223455502E-6</v>
          </cell>
          <cell r="E327">
            <v>4.7776913763809997E-6</v>
          </cell>
          <cell r="F327">
            <v>5.5316984378423396E-6</v>
          </cell>
          <cell r="G327">
            <v>1.2474562009395628E-3</v>
          </cell>
          <cell r="H327">
            <v>1.2502414881646001E-3</v>
          </cell>
          <cell r="I327">
            <v>1.21718262266263E-3</v>
          </cell>
        </row>
        <row r="328">
          <cell r="A328" t="str">
            <v>T_B_c-BEVELC-S3</v>
          </cell>
          <cell r="B328" t="str">
            <v>VAR_fout</v>
          </cell>
          <cell r="C328" t="str">
            <v>TPBSc</v>
          </cell>
          <cell r="D328">
            <v>3.5418604232967777E-5</v>
          </cell>
          <cell r="E328">
            <v>4.6031289432258624E-5</v>
          </cell>
          <cell r="F328">
            <v>5.7955050953582035E-5</v>
          </cell>
          <cell r="G328">
            <v>1.2271440667605908E-2</v>
          </cell>
          <cell r="H328">
            <v>1.2304442040593451E-2</v>
          </cell>
          <cell r="I328">
            <v>1.1978838296042267E-2</v>
          </cell>
        </row>
        <row r="329">
          <cell r="A329" t="str">
            <v>T_B_c-BEVELC-S3</v>
          </cell>
          <cell r="B329" t="str">
            <v>VAR_fin</v>
          </cell>
          <cell r="C329" t="str">
            <v>T-ELC-Bus_c_BatSTGout_S3</v>
          </cell>
          <cell r="D329">
            <v>1.9357558846634385E-4</v>
          </cell>
          <cell r="E329">
            <v>2.4995541815635682E-4</v>
          </cell>
          <cell r="F329">
            <v>3.1051904521309118E-4</v>
          </cell>
          <cell r="G329">
            <v>5.6829824026673879E-2</v>
          </cell>
          <cell r="H329">
            <v>5.2098502383772997E-2</v>
          </cell>
          <cell r="I329">
            <v>4.6870535385720447E-2</v>
          </cell>
        </row>
        <row r="330">
          <cell r="A330" t="str">
            <v>T_B_c-BEVELC-S3</v>
          </cell>
          <cell r="B330" t="str">
            <v>VAR_ncap</v>
          </cell>
          <cell r="C330" t="str">
            <v>-</v>
          </cell>
          <cell r="E330">
            <v>1.6027561728131699E-7</v>
          </cell>
          <cell r="F330">
            <v>2.45477355536498E-7</v>
          </cell>
          <cell r="G330">
            <v>2.6713798774662503E-4</v>
          </cell>
          <cell r="H330">
            <v>2.0255269070305101E-4</v>
          </cell>
          <cell r="I330">
            <v>1.9095266719966101E-4</v>
          </cell>
        </row>
        <row r="331">
          <cell r="A331" t="str">
            <v>T_B_c-BEVELC-S3</v>
          </cell>
          <cell r="B331" t="str">
            <v>VAR_cap</v>
          </cell>
          <cell r="C331" t="str">
            <v>-</v>
          </cell>
          <cell r="D331">
            <v>7.8058484940012013E-7</v>
          </cell>
          <cell r="E331">
            <v>1.0450925543488978E-6</v>
          </cell>
          <cell r="F331">
            <v>1.3144109576572953E-6</v>
          </cell>
          <cell r="G331">
            <v>2.6789298794193154E-4</v>
          </cell>
          <cell r="H331">
            <v>2.67380134549138E-4</v>
          </cell>
          <cell r="I331">
            <v>2.60331267350691E-4</v>
          </cell>
        </row>
        <row r="332">
          <cell r="A332" t="str">
            <v>T_B_c-BEVELC-S4</v>
          </cell>
          <cell r="B332" t="str">
            <v>VAR_fout</v>
          </cell>
          <cell r="C332" t="str">
            <v>TPBSc</v>
          </cell>
          <cell r="E332">
            <v>3.3327076103716757E-6</v>
          </cell>
          <cell r="F332">
            <v>4.3289661111714996E-6</v>
          </cell>
          <cell r="G332">
            <v>1.7754853888003908E-6</v>
          </cell>
          <cell r="H332">
            <v>1.2046677458732424E-5</v>
          </cell>
          <cell r="I332">
            <v>3.5301493987498784E-6</v>
          </cell>
        </row>
        <row r="333">
          <cell r="A333" t="str">
            <v>T_B_c-BEVELC-S4</v>
          </cell>
          <cell r="B333" t="str">
            <v>VAR_fin</v>
          </cell>
          <cell r="C333" t="str">
            <v>T-ELC-Bus_c_BatSTGout_S4</v>
          </cell>
          <cell r="E333">
            <v>2.6359206699190983E-5</v>
          </cell>
          <cell r="F333">
            <v>3.3414899814605417E-5</v>
          </cell>
          <cell r="G333">
            <v>1.2310692674810324E-5</v>
          </cell>
          <cell r="H333">
            <v>7.6258959118893519E-5</v>
          </cell>
          <cell r="I333">
            <v>2.0534335657788978E-5</v>
          </cell>
        </row>
        <row r="334">
          <cell r="A334" t="str">
            <v>T_B_c-BEVELC-S4</v>
          </cell>
          <cell r="B334" t="str">
            <v>VAR_ncap</v>
          </cell>
          <cell r="C334" t="str">
            <v>-</v>
          </cell>
          <cell r="E334">
            <v>8.2929040896106596E-8</v>
          </cell>
          <cell r="F334">
            <v>7.53528216246677E-8</v>
          </cell>
          <cell r="G334">
            <v>7.4616964813930305E-8</v>
          </cell>
          <cell r="H334">
            <v>1.9554508682033499E-7</v>
          </cell>
          <cell r="I334">
            <v>8.57598549310771E-8</v>
          </cell>
        </row>
        <row r="335">
          <cell r="A335" t="str">
            <v>T_B_c-BEVELC-S4</v>
          </cell>
          <cell r="B335" t="str">
            <v>VAR_cap</v>
          </cell>
          <cell r="C335" t="str">
            <v>-</v>
          </cell>
          <cell r="E335">
            <v>8.2929040896106596E-8</v>
          </cell>
          <cell r="F335">
            <v>1.58281862520774E-7</v>
          </cell>
          <cell r="G335">
            <v>1.0582019501920139E-7</v>
          </cell>
          <cell r="H335">
            <v>2.69385156516898E-7</v>
          </cell>
          <cell r="I335">
            <v>1.2007579555692799E-7</v>
          </cell>
        </row>
        <row r="336">
          <cell r="A336" t="str">
            <v>T_C-BAT-ELC-S1</v>
          </cell>
          <cell r="B336" t="str">
            <v>VAR_fout</v>
          </cell>
          <cell r="C336" t="str">
            <v>TPCAR</v>
          </cell>
          <cell r="D336">
            <v>1.3919666755587659E-2</v>
          </cell>
          <cell r="E336">
            <v>2.5214335505497266E-2</v>
          </cell>
          <cell r="F336">
            <v>2.0378625380494075E-2</v>
          </cell>
          <cell r="G336">
            <v>0.95401319439231125</v>
          </cell>
          <cell r="H336">
            <v>2.3202046822027054</v>
          </cell>
          <cell r="I336">
            <v>2.4475706331097062</v>
          </cell>
        </row>
        <row r="337">
          <cell r="A337" t="str">
            <v>T_C-BAT-ELC-S1</v>
          </cell>
          <cell r="B337" t="str">
            <v>VAR_fin</v>
          </cell>
          <cell r="C337" t="str">
            <v>T-ELC-car-BatSTGOut_S1</v>
          </cell>
          <cell r="D337">
            <v>7.6833262086880216E-3</v>
          </cell>
          <cell r="E337">
            <v>1.3917715720189397E-2</v>
          </cell>
          <cell r="F337">
            <v>1.1248518318165332E-2</v>
          </cell>
          <cell r="G337">
            <v>0.52659267700975709</v>
          </cell>
          <cell r="H337">
            <v>1.2060840535296786</v>
          </cell>
          <cell r="I337">
            <v>1.1561627525214415</v>
          </cell>
        </row>
        <row r="338">
          <cell r="A338" t="str">
            <v>T_C-BAT-ELC-S1</v>
          </cell>
          <cell r="B338" t="str">
            <v>VAR_ncap</v>
          </cell>
          <cell r="C338" t="str">
            <v>-</v>
          </cell>
          <cell r="D338">
            <v>4.2042449062014402E-5</v>
          </cell>
          <cell r="E338">
            <v>5.2040791144413096E-4</v>
          </cell>
          <cell r="F338">
            <v>4.97791372745042E-4</v>
          </cell>
          <cell r="G338">
            <v>0.15021627354239001</v>
          </cell>
          <cell r="H338">
            <v>0.153124073900925</v>
          </cell>
          <cell r="I338">
            <v>0.29424800094271197</v>
          </cell>
        </row>
        <row r="339">
          <cell r="A339" t="str">
            <v>T_C-BAT-ELC-S1</v>
          </cell>
          <cell r="B339" t="str">
            <v>VAR_cap</v>
          </cell>
          <cell r="C339" t="str">
            <v>-</v>
          </cell>
          <cell r="D339">
            <v>1.5136353961426813E-3</v>
          </cell>
          <cell r="E339">
            <v>2.695355267648887E-3</v>
          </cell>
          <cell r="F339">
            <v>3.086108622005211E-3</v>
          </cell>
          <cell r="G339">
            <v>0.14497998447738139</v>
          </cell>
          <cell r="H339">
            <v>0.35261067487978237</v>
          </cell>
          <cell r="I339">
            <v>0.3719695593565483</v>
          </cell>
        </row>
        <row r="340">
          <cell r="A340" t="str">
            <v>D-TNGA</v>
          </cell>
          <cell r="B340" t="str">
            <v>VAR_fout</v>
          </cell>
          <cell r="C340" t="str">
            <v>CO2</v>
          </cell>
          <cell r="D340">
            <v>16.139502196631799</v>
          </cell>
          <cell r="E340">
            <v>8.5189750627819993</v>
          </cell>
          <cell r="F340">
            <v>13.5438457050026</v>
          </cell>
          <cell r="G340">
            <v>0.27940581755945498</v>
          </cell>
          <cell r="H340">
            <v>0.205187151314114</v>
          </cell>
          <cell r="I340">
            <v>1.66987846480024E-2</v>
          </cell>
        </row>
        <row r="341">
          <cell r="A341" t="str">
            <v>D-TNGA</v>
          </cell>
          <cell r="B341" t="str">
            <v>VAR_fout</v>
          </cell>
          <cell r="C341" t="str">
            <v>TNGA</v>
          </cell>
          <cell r="D341">
            <v>0.30831868710437854</v>
          </cell>
          <cell r="E341">
            <v>0.16868428628497326</v>
          </cell>
          <cell r="F341">
            <v>0.24634950791459151</v>
          </cell>
          <cell r="G341">
            <v>5.0254889153774724E-3</v>
          </cell>
          <cell r="H341">
            <v>3.8075609385892837E-3</v>
          </cell>
          <cell r="I341">
            <v>3.6276615861792147E-4</v>
          </cell>
        </row>
        <row r="342">
          <cell r="A342" t="str">
            <v>D-TNGA</v>
          </cell>
          <cell r="B342" t="str">
            <v>VAR_fin</v>
          </cell>
          <cell r="C342" t="str">
            <v>NGA</v>
          </cell>
          <cell r="D342">
            <v>0.2861613864651037</v>
          </cell>
          <cell r="E342">
            <v>0.15104565714152493</v>
          </cell>
          <cell r="F342">
            <v>0.24013910824472745</v>
          </cell>
          <cell r="G342">
            <v>4.9540038574371449E-3</v>
          </cell>
          <cell r="H342">
            <v>3.6380700587608922E-3</v>
          </cell>
          <cell r="I342">
            <v>2.9607774198585823E-4</v>
          </cell>
        </row>
        <row r="343">
          <cell r="A343" t="str">
            <v>D-TNGA</v>
          </cell>
          <cell r="B343" t="str">
            <v>VAR_fin</v>
          </cell>
          <cell r="C343" t="str">
            <v>BNGA</v>
          </cell>
          <cell r="D343">
            <v>2.314077332541363E-2</v>
          </cell>
          <cell r="E343">
            <v>1.6173497874621353E-2</v>
          </cell>
          <cell r="F343">
            <v>2.3884715761978638E-3</v>
          </cell>
          <cell r="G343">
            <v>6.0054502932270169E-5</v>
          </cell>
          <cell r="H343">
            <v>1.4110931731236721E-4</v>
          </cell>
          <cell r="I343">
            <v>5.8890435213348562E-5</v>
          </cell>
        </row>
        <row r="344">
          <cell r="A344" t="str">
            <v>D-TNGA</v>
          </cell>
          <cell r="B344" t="str">
            <v>VAR_fin</v>
          </cell>
          <cell r="C344" t="str">
            <v>H2</v>
          </cell>
          <cell r="E344">
            <v>2.0030791415487606E-3</v>
          </cell>
          <cell r="F344">
            <v>4.6076871471657128E-3</v>
          </cell>
          <cell r="G344">
            <v>2.725848425793354E-5</v>
          </cell>
          <cell r="H344">
            <v>4.0355334155248999E-5</v>
          </cell>
          <cell r="I344">
            <v>8.899971026941052E-6</v>
          </cell>
        </row>
        <row r="345">
          <cell r="A345" t="str">
            <v>D-TNGA</v>
          </cell>
          <cell r="B345" t="str">
            <v>VAR_ncap</v>
          </cell>
          <cell r="C345" t="str">
            <v>-</v>
          </cell>
          <cell r="D345">
            <v>1.8888060669417901E-7</v>
          </cell>
          <cell r="E345">
            <v>4.9715687658749298E-8</v>
          </cell>
          <cell r="F345">
            <v>5.41552045825361E-8</v>
          </cell>
          <cell r="G345">
            <v>6.0275025116300403E-8</v>
          </cell>
          <cell r="H345">
            <v>9.2789647410942801E-8</v>
          </cell>
          <cell r="I345">
            <v>2.2078988636959001E-7</v>
          </cell>
        </row>
        <row r="346">
          <cell r="A346" t="str">
            <v>D-TNGA</v>
          </cell>
          <cell r="B346" t="str">
            <v>VAR_cap</v>
          </cell>
          <cell r="C346" t="str">
            <v>-</v>
          </cell>
          <cell r="D346">
            <v>0.95961788196225073</v>
          </cell>
          <cell r="E346">
            <v>0.95961793167793841</v>
          </cell>
          <cell r="F346">
            <v>0.95961798583314295</v>
          </cell>
          <cell r="G346">
            <v>0.95961804610816803</v>
          </cell>
          <cell r="H346">
            <v>0.95961824145710228</v>
          </cell>
          <cell r="I346">
            <v>0.48125411860093259</v>
          </cell>
        </row>
        <row r="347">
          <cell r="A347" t="str">
            <v>T_C-BAT-ELC-S2</v>
          </cell>
          <cell r="B347" t="str">
            <v>VAR_fout</v>
          </cell>
          <cell r="C347" t="str">
            <v>TPCAR</v>
          </cell>
          <cell r="D347">
            <v>9.686606614680808E-2</v>
          </cell>
          <cell r="E347">
            <v>0.15039982778646693</v>
          </cell>
          <cell r="F347">
            <v>1.3999814139431279</v>
          </cell>
          <cell r="G347">
            <v>8.4681905772772161</v>
          </cell>
          <cell r="H347">
            <v>18.263319278409231</v>
          </cell>
          <cell r="I347">
            <v>18.047812862194608</v>
          </cell>
        </row>
        <row r="348">
          <cell r="A348" t="str">
            <v>T_C-BAT-ELC-S2</v>
          </cell>
          <cell r="B348" t="str">
            <v>VAR_fin</v>
          </cell>
          <cell r="C348" t="str">
            <v>T-ELC-car-BatSTGOut_S2</v>
          </cell>
          <cell r="D348">
            <v>6.6174464284292994E-2</v>
          </cell>
          <cell r="E348">
            <v>0.10274628079905077</v>
          </cell>
          <cell r="F348">
            <v>0.95640324585129599</v>
          </cell>
          <cell r="G348">
            <v>5.785080340305357</v>
          </cell>
          <cell r="H348">
            <v>11.736055542992327</v>
          </cell>
          <cell r="I348">
            <v>10.50817630850222</v>
          </cell>
        </row>
        <row r="349">
          <cell r="A349" t="str">
            <v>T_C-BAT-ELC-S2</v>
          </cell>
          <cell r="B349" t="str">
            <v>VAR_ncap</v>
          </cell>
          <cell r="C349" t="str">
            <v>-</v>
          </cell>
          <cell r="D349">
            <v>6.8426334576237604E-5</v>
          </cell>
          <cell r="E349">
            <v>1.5447320621190801E-4</v>
          </cell>
          <cell r="F349">
            <v>9.6544099080330001E-2</v>
          </cell>
          <cell r="G349">
            <v>0.57989204466990796</v>
          </cell>
          <cell r="H349">
            <v>0.65874452653456395</v>
          </cell>
          <cell r="I349">
            <v>1.47474730611503</v>
          </cell>
        </row>
        <row r="350">
          <cell r="A350" t="str">
            <v>T_C-BAT-ELC-S2</v>
          </cell>
          <cell r="B350" t="str">
            <v>VAR_cap</v>
          </cell>
          <cell r="C350" t="str">
            <v>-</v>
          </cell>
          <cell r="D350">
            <v>7.3552501528310775E-3</v>
          </cell>
          <cell r="E350">
            <v>1.1411140671885084E-2</v>
          </cell>
          <cell r="F350">
            <v>0.10622276456003427</v>
          </cell>
          <cell r="G350">
            <v>0.64250897407160656</v>
          </cell>
          <cell r="H350">
            <v>1.9263256036017589</v>
          </cell>
          <cell r="I350">
            <v>1.9036110992828514</v>
          </cell>
        </row>
        <row r="351">
          <cell r="A351" t="str">
            <v>TFLGV-BeVELCExt</v>
          </cell>
          <cell r="B351" t="str">
            <v>VAR_fout</v>
          </cell>
          <cell r="C351" t="str">
            <v>TFLGV</v>
          </cell>
          <cell r="D351">
            <v>2.7929444473583989E-2</v>
          </cell>
          <cell r="E351">
            <v>2.4232620702293227E-2</v>
          </cell>
          <cell r="F351">
            <v>1.862598922274367E-2</v>
          </cell>
          <cell r="G351">
            <v>9.2776018844443354E-3</v>
          </cell>
        </row>
        <row r="352">
          <cell r="A352" t="str">
            <v>TFLGV-BeVELCExt</v>
          </cell>
          <cell r="B352" t="str">
            <v>VAR_fin</v>
          </cell>
          <cell r="C352" t="str">
            <v>TELC</v>
          </cell>
          <cell r="D352">
            <v>4.0523096900810053E-2</v>
          </cell>
          <cell r="E352">
            <v>3.4834679819820545E-2</v>
          </cell>
          <cell r="F352">
            <v>2.6409286713947121E-2</v>
          </cell>
          <cell r="G352">
            <v>1.3154460966022991E-2</v>
          </cell>
        </row>
        <row r="353">
          <cell r="A353" t="str">
            <v>TFLGV-BeVELCExt</v>
          </cell>
          <cell r="B353" t="str">
            <v>VAR_cap</v>
          </cell>
          <cell r="C353" t="str">
            <v>-</v>
          </cell>
          <cell r="D353">
            <v>1.9499999999999999E-3</v>
          </cell>
          <cell r="E353">
            <v>1.6900000000000001E-3</v>
          </cell>
          <cell r="F353">
            <v>1.2999999999999999E-3</v>
          </cell>
          <cell r="G353">
            <v>6.4999999999999997E-4</v>
          </cell>
        </row>
        <row r="354">
          <cell r="A354" t="str">
            <v>T_C-BAT-ELC-S3</v>
          </cell>
          <cell r="B354" t="str">
            <v>VAR_fout</v>
          </cell>
          <cell r="C354" t="str">
            <v>TPCAR</v>
          </cell>
          <cell r="D354">
            <v>6.1569112084126826E-2</v>
          </cell>
          <cell r="E354">
            <v>0.12732735808291257</v>
          </cell>
          <cell r="F354">
            <v>0.14757776549035673</v>
          </cell>
          <cell r="G354">
            <v>0.1241012654534413</v>
          </cell>
          <cell r="H354">
            <v>6.722763669854011</v>
          </cell>
          <cell r="I354">
            <v>14.512834696079032</v>
          </cell>
        </row>
        <row r="355">
          <cell r="A355" t="str">
            <v>T_C-BAT-ELC-S3</v>
          </cell>
          <cell r="B355" t="str">
            <v>VAR_fin</v>
          </cell>
          <cell r="C355" t="str">
            <v>T-ELC-car-BatSTGOut_S3</v>
          </cell>
          <cell r="D355">
            <v>4.6034608122136368E-2</v>
          </cell>
          <cell r="E355">
            <v>9.5201389693014032E-2</v>
          </cell>
          <cell r="F355">
            <v>0.11034241638252583</v>
          </cell>
          <cell r="G355">
            <v>9.2789272562585054E-2</v>
          </cell>
          <cell r="H355">
            <v>4.5656993755368305</v>
          </cell>
          <cell r="I355">
            <v>9.0549896411657276</v>
          </cell>
        </row>
        <row r="356">
          <cell r="A356" t="str">
            <v>T_C-BAT-ELC-S3</v>
          </cell>
          <cell r="B356" t="str">
            <v>VAR_ncap</v>
          </cell>
          <cell r="C356" t="str">
            <v>-</v>
          </cell>
          <cell r="D356">
            <v>5.1813486079803903E-5</v>
          </cell>
          <cell r="E356">
            <v>2.61272100113439E-3</v>
          </cell>
          <cell r="F356">
            <v>1.76286515242187E-3</v>
          </cell>
          <cell r="G356">
            <v>1.9906817029657301E-4</v>
          </cell>
          <cell r="H356">
            <v>0.42737880532863298</v>
          </cell>
          <cell r="I356">
            <v>0.89811899514164695</v>
          </cell>
        </row>
        <row r="357">
          <cell r="A357" t="str">
            <v>T_C-BAT-ELC-S3</v>
          </cell>
          <cell r="B357" t="str">
            <v>VAR_cap</v>
          </cell>
          <cell r="C357" t="str">
            <v>-</v>
          </cell>
          <cell r="D357">
            <v>4.2726654855223404E-3</v>
          </cell>
          <cell r="E357">
            <v>8.7569372642437634E-3</v>
          </cell>
          <cell r="F357">
            <v>1.015575493944478E-2</v>
          </cell>
          <cell r="G357">
            <v>8.5414144230026197E-3</v>
          </cell>
          <cell r="H357">
            <v>0.46224876881329702</v>
          </cell>
          <cell r="I357">
            <v>0.99786756973826096</v>
          </cell>
        </row>
        <row r="358">
          <cell r="A358" t="str">
            <v>T_C-BAT-ELC-S4</v>
          </cell>
          <cell r="B358" t="str">
            <v>VAR_fout</v>
          </cell>
          <cell r="C358" t="str">
            <v>TPCAR</v>
          </cell>
          <cell r="D358">
            <v>0.19380841998540965</v>
          </cell>
          <cell r="E358">
            <v>1.3653183336988468</v>
          </cell>
          <cell r="F358">
            <v>3.4751599678467429</v>
          </cell>
          <cell r="G358">
            <v>12.736592695711522</v>
          </cell>
          <cell r="H358">
            <v>22.620730180462566</v>
          </cell>
          <cell r="I358">
            <v>23.575576157058265</v>
          </cell>
        </row>
        <row r="359">
          <cell r="A359" t="str">
            <v>T_C-BAT-ELC-S4</v>
          </cell>
          <cell r="B359" t="str">
            <v>VAR_fin</v>
          </cell>
          <cell r="C359" t="str">
            <v>T-ELC-car-BatSTGOut_S4</v>
          </cell>
          <cell r="D359">
            <v>0.1496621407767699</v>
          </cell>
          <cell r="E359">
            <v>1.0543219158307198</v>
          </cell>
          <cell r="F359">
            <v>2.6835773201640505</v>
          </cell>
          <cell r="G359">
            <v>9.8354123581702861</v>
          </cell>
          <cell r="H359">
            <v>16.398640700118833</v>
          </cell>
          <cell r="I359">
            <v>15.496988328130508</v>
          </cell>
        </row>
        <row r="360">
          <cell r="A360" t="str">
            <v>T_C-BAT-ELC-S4</v>
          </cell>
          <cell r="B360" t="str">
            <v>VAR_ncap</v>
          </cell>
          <cell r="C360" t="str">
            <v>-</v>
          </cell>
          <cell r="D360">
            <v>1.43583933077031E-4</v>
          </cell>
          <cell r="E360">
            <v>8.0505636774961295E-2</v>
          </cell>
          <cell r="F360">
            <v>0.17416766613817999</v>
          </cell>
          <cell r="G360">
            <v>0.81157833898035503</v>
          </cell>
          <cell r="H360">
            <v>0.86903137756640703</v>
          </cell>
          <cell r="I360">
            <v>1.9155373764967201</v>
          </cell>
        </row>
        <row r="361">
          <cell r="A361" t="str">
            <v>T_C-BAT-ELC-S4</v>
          </cell>
          <cell r="B361" t="str">
            <v>VAR_cap</v>
          </cell>
          <cell r="C361" t="str">
            <v>-</v>
          </cell>
          <cell r="D361">
            <v>1.5346154732724477E-2</v>
          </cell>
          <cell r="E361">
            <v>0.1075088118646161</v>
          </cell>
          <cell r="F361">
            <v>0.27365717157054104</v>
          </cell>
          <cell r="G361">
            <v>1.0028984329214219</v>
          </cell>
          <cell r="H361">
            <v>1.9401023881516817</v>
          </cell>
          <cell r="I361">
            <v>2.303152618719384</v>
          </cell>
        </row>
        <row r="362">
          <cell r="A362" t="str">
            <v>T_B_c-ICENGA-S1</v>
          </cell>
          <cell r="B362" t="str">
            <v>VAR_fout</v>
          </cell>
          <cell r="C362" t="str">
            <v>CO2_T</v>
          </cell>
          <cell r="E362">
            <v>7.3154284074406504E-3</v>
          </cell>
          <cell r="F362">
            <v>2.059507821640999E-2</v>
          </cell>
          <cell r="H362">
            <v>1.7205344543199701E-4</v>
          </cell>
        </row>
        <row r="363">
          <cell r="A363" t="str">
            <v>T_B_c-ICENGA-S1</v>
          </cell>
          <cell r="B363" t="str">
            <v>VAR_fout</v>
          </cell>
          <cell r="C363" t="str">
            <v>TPBSc</v>
          </cell>
          <cell r="E363">
            <v>1.5595549071067014E-5</v>
          </cell>
          <cell r="F363">
            <v>4.5264114766651829E-5</v>
          </cell>
          <cell r="H363">
            <v>4.6646582400519407E-7</v>
          </cell>
        </row>
        <row r="364">
          <cell r="A364" t="str">
            <v>T_B_c-ICENGA-S1</v>
          </cell>
          <cell r="B364" t="str">
            <v>VAR_fin</v>
          </cell>
          <cell r="C364" t="str">
            <v>TNGA</v>
          </cell>
          <cell r="E364">
            <v>1.2970617743689097E-4</v>
          </cell>
          <cell r="F364">
            <v>3.6516096128386502E-4</v>
          </cell>
          <cell r="H364">
            <v>3.050593004113422E-6</v>
          </cell>
        </row>
        <row r="365">
          <cell r="A365" t="str">
            <v>T_B_c-ICENGA-S1</v>
          </cell>
          <cell r="B365" t="str">
            <v>VAR_ncap</v>
          </cell>
          <cell r="C365" t="str">
            <v>-</v>
          </cell>
          <cell r="E365">
            <v>4.3560818294837302E-7</v>
          </cell>
          <cell r="F365">
            <v>5.9726437224000797E-7</v>
          </cell>
          <cell r="H365">
            <v>2.5169364499659801E-8</v>
          </cell>
        </row>
        <row r="366">
          <cell r="A366" t="str">
            <v>T_B_c-ICENGA-S1</v>
          </cell>
          <cell r="B366" t="str">
            <v>VAR_cap</v>
          </cell>
          <cell r="C366" t="str">
            <v>-</v>
          </cell>
          <cell r="E366">
            <v>4.3560818294837302E-7</v>
          </cell>
          <cell r="F366">
            <v>1.0328725551883801E-6</v>
          </cell>
          <cell r="G366">
            <v>1.0134717222901124E-9</v>
          </cell>
          <cell r="H366">
            <v>2.4251366397961497E-8</v>
          </cell>
          <cell r="I366">
            <v>1.4479714073056599E-8</v>
          </cell>
        </row>
        <row r="367">
          <cell r="A367" t="str">
            <v>TFLGV-FCLH2O</v>
          </cell>
          <cell r="B367" t="str">
            <v>VAR_fout</v>
          </cell>
          <cell r="C367" t="str">
            <v>TFLGV</v>
          </cell>
          <cell r="E367">
            <v>1.1946789490618372E-5</v>
          </cell>
          <cell r="F367">
            <v>1.6943468254283381E-5</v>
          </cell>
          <cell r="G367">
            <v>9.0048602123845767E-6</v>
          </cell>
          <cell r="H367">
            <v>7.7423365672693071E-6</v>
          </cell>
          <cell r="I367">
            <v>7.7435876552438045E-6</v>
          </cell>
        </row>
        <row r="368">
          <cell r="A368" t="str">
            <v>TFLGV-FCLH2O</v>
          </cell>
          <cell r="B368" t="str">
            <v>VAR_fin</v>
          </cell>
          <cell r="C368" t="str">
            <v>TH2O</v>
          </cell>
          <cell r="E368">
            <v>2.5686306907186135E-5</v>
          </cell>
          <cell r="F368">
            <v>3.5876672104577688E-5</v>
          </cell>
          <cell r="G368">
            <v>1.8246984548491258E-5</v>
          </cell>
          <cell r="H368">
            <v>1.369972635034712E-5</v>
          </cell>
          <cell r="I368">
            <v>1.3046328730998614E-5</v>
          </cell>
        </row>
        <row r="369">
          <cell r="A369" t="str">
            <v>TFLGV-FCLH2O</v>
          </cell>
          <cell r="B369" t="str">
            <v>VAR_ncap</v>
          </cell>
          <cell r="C369" t="str">
            <v>-</v>
          </cell>
          <cell r="E369">
            <v>9.13094529071979E-7</v>
          </cell>
          <cell r="F369">
            <v>4.4166612088904601E-7</v>
          </cell>
          <cell r="G369">
            <v>1.9746221865684001E-7</v>
          </cell>
          <cell r="H369">
            <v>3.3461531711880603E-7</v>
          </cell>
          <cell r="I369">
            <v>4.1681200254801702E-7</v>
          </cell>
        </row>
        <row r="370">
          <cell r="A370" t="str">
            <v>TFLGV-FCLH2O</v>
          </cell>
          <cell r="B370" t="str">
            <v>VAR_cap</v>
          </cell>
          <cell r="C370" t="str">
            <v>-</v>
          </cell>
          <cell r="E370">
            <v>9.13094529071979E-7</v>
          </cell>
          <cell r="F370">
            <v>1.3547606499610201E-6</v>
          </cell>
          <cell r="G370">
            <v>6.8114956925893115E-7</v>
          </cell>
          <cell r="H370">
            <v>6.26334701287119E-7</v>
          </cell>
          <cell r="I370">
            <v>6.3662581352540703E-7</v>
          </cell>
        </row>
        <row r="371">
          <cell r="A371" t="str">
            <v>T_B_c-ICENGA-S2</v>
          </cell>
          <cell r="B371" t="str">
            <v>VAR_fout</v>
          </cell>
          <cell r="C371" t="str">
            <v>CO2_T</v>
          </cell>
          <cell r="E371">
            <v>3.5028429192811199E-3</v>
          </cell>
          <cell r="F371">
            <v>1.4565897619492989E-2</v>
          </cell>
          <cell r="H371">
            <v>3.8696099547775898E-4</v>
          </cell>
          <cell r="I371">
            <v>7.51251227224568E-5</v>
          </cell>
        </row>
        <row r="372">
          <cell r="A372" t="str">
            <v>T_B_c-ICENGA-S2</v>
          </cell>
          <cell r="B372" t="str">
            <v>VAR_fout</v>
          </cell>
          <cell r="C372" t="str">
            <v>TPBSc</v>
          </cell>
          <cell r="E372">
            <v>5.2789877568690345E-6</v>
          </cell>
          <cell r="F372">
            <v>2.2751353272193782E-5</v>
          </cell>
          <cell r="H372">
            <v>7.3348182284771806E-7</v>
          </cell>
          <cell r="I372">
            <v>1.4239913738100068E-7</v>
          </cell>
        </row>
        <row r="373">
          <cell r="A373" t="str">
            <v>T_B_c-ICENGA-S2</v>
          </cell>
          <cell r="B373" t="str">
            <v>VAR_fin</v>
          </cell>
          <cell r="C373" t="str">
            <v>TNGA</v>
          </cell>
          <cell r="E373">
            <v>6.2107143958885089E-5</v>
          </cell>
          <cell r="F373">
            <v>2.5826059609030126E-4</v>
          </cell>
          <cell r="H373">
            <v>6.8610105581162947E-6</v>
          </cell>
          <cell r="I373">
            <v>1.3320057220293737E-6</v>
          </cell>
        </row>
        <row r="374">
          <cell r="A374" t="str">
            <v>T_B_c-ICENGA-S2</v>
          </cell>
          <cell r="B374" t="str">
            <v>VAR_ncap</v>
          </cell>
          <cell r="C374" t="str">
            <v>-</v>
          </cell>
          <cell r="E374">
            <v>1.4356370005298501E-7</v>
          </cell>
          <cell r="F374">
            <v>3.53040012107852E-7</v>
          </cell>
          <cell r="H374">
            <v>2.4885467378851798E-8</v>
          </cell>
        </row>
        <row r="375">
          <cell r="A375" t="str">
            <v>T_B_c-ICENGA-S2</v>
          </cell>
          <cell r="B375" t="str">
            <v>VAR_cap</v>
          </cell>
          <cell r="C375" t="str">
            <v>-</v>
          </cell>
          <cell r="E375">
            <v>1.4356370005298501E-7</v>
          </cell>
          <cell r="F375">
            <v>4.9660371216083796E-7</v>
          </cell>
          <cell r="G375">
            <v>-3.6528793752295845E-10</v>
          </cell>
          <cell r="H375">
            <v>5.7690141605391981E-9</v>
          </cell>
          <cell r="I375">
            <v>1.24801935340343E-8</v>
          </cell>
        </row>
        <row r="376">
          <cell r="A376" t="str">
            <v>T_B_u-ICEDSL-S1</v>
          </cell>
          <cell r="B376" t="str">
            <v>VAR_fout</v>
          </cell>
          <cell r="C376" t="str">
            <v>CO2_T</v>
          </cell>
          <cell r="D376">
            <v>2.0512064174795917E-2</v>
          </cell>
          <cell r="E376">
            <v>14.572814928684407</v>
          </cell>
          <cell r="F376">
            <v>29.530102186321361</v>
          </cell>
          <cell r="G376">
            <v>3.3251323040455901E-3</v>
          </cell>
        </row>
        <row r="377">
          <cell r="A377" t="str">
            <v>T_B_u-ICEDSL-S1</v>
          </cell>
          <cell r="B377" t="str">
            <v>VAR_fout</v>
          </cell>
          <cell r="C377" t="str">
            <v>TPBSu</v>
          </cell>
          <cell r="D377">
            <v>3.4677188485124169E-5</v>
          </cell>
          <cell r="E377">
            <v>2.5548951797156903E-2</v>
          </cell>
          <cell r="F377">
            <v>5.318002061472013E-2</v>
          </cell>
          <cell r="G377">
            <v>5.6213864515423071E-6</v>
          </cell>
        </row>
        <row r="378">
          <cell r="A378" t="str">
            <v>T_B_u-ICEDSL-S1</v>
          </cell>
          <cell r="B378" t="str">
            <v>VAR_fin</v>
          </cell>
          <cell r="C378" t="str">
            <v>TDSL</v>
          </cell>
          <cell r="D378">
            <v>2.7983716473118568E-4</v>
          </cell>
          <cell r="E378">
            <v>0.19881057201479393</v>
          </cell>
          <cell r="F378">
            <v>0.40286633269196914</v>
          </cell>
          <cell r="G378">
            <v>4.5363332933773357E-5</v>
          </cell>
        </row>
        <row r="379">
          <cell r="A379" t="str">
            <v>T_B_u-ICEDSL-S1</v>
          </cell>
          <cell r="B379" t="str">
            <v>VAR_ncap</v>
          </cell>
          <cell r="C379" t="str">
            <v>-</v>
          </cell>
          <cell r="E379">
            <v>4.8122570369022502E-4</v>
          </cell>
          <cell r="F379">
            <v>5.2105749392783798E-4</v>
          </cell>
        </row>
        <row r="380">
          <cell r="A380" t="str">
            <v>T_B_u-ICEDSL-S1</v>
          </cell>
          <cell r="B380" t="str">
            <v>VAR_cap</v>
          </cell>
          <cell r="C380" t="str">
            <v>-</v>
          </cell>
          <cell r="D380">
            <v>7.0464135021097004E-7</v>
          </cell>
          <cell r="E380">
            <v>4.8205763055379747E-4</v>
          </cell>
          <cell r="F380">
            <v>1.0031151244816324E-3</v>
          </cell>
          <cell r="G380">
            <v>1.0917015107734553E-7</v>
          </cell>
        </row>
        <row r="381">
          <cell r="A381" t="str">
            <v>T_B_c-ICENGA-S3</v>
          </cell>
          <cell r="B381" t="str">
            <v>VAR_fout</v>
          </cell>
          <cell r="C381" t="str">
            <v>CO2_T</v>
          </cell>
          <cell r="E381">
            <v>2.2480626635781602E-3</v>
          </cell>
          <cell r="F381">
            <v>9.5213896373838609E-3</v>
          </cell>
          <cell r="H381">
            <v>2.6596537338902999E-4</v>
          </cell>
        </row>
        <row r="382">
          <cell r="A382" t="str">
            <v>T_B_c-ICENGA-S3</v>
          </cell>
          <cell r="B382" t="str">
            <v>VAR_fout</v>
          </cell>
          <cell r="C382" t="str">
            <v>TPBSc</v>
          </cell>
          <cell r="E382">
            <v>2.2489448871211211E-6</v>
          </cell>
          <cell r="F382">
            <v>9.8608374948496871E-6</v>
          </cell>
          <cell r="H382">
            <v>3.3461680766500247E-7</v>
          </cell>
        </row>
        <row r="383">
          <cell r="A383" t="str">
            <v>T_B_c-ICENGA-S3</v>
          </cell>
          <cell r="B383" t="str">
            <v>VAR_fin</v>
          </cell>
          <cell r="C383" t="str">
            <v>TNGA</v>
          </cell>
          <cell r="E383">
            <v>3.9859267084719181E-5</v>
          </cell>
          <cell r="F383">
            <v>1.6881896520184171E-4</v>
          </cell>
          <cell r="H383">
            <v>4.7156981097345803E-6</v>
          </cell>
        </row>
        <row r="384">
          <cell r="A384" t="str">
            <v>T_B_c-ICENGA-S3</v>
          </cell>
          <cell r="B384" t="str">
            <v>VAR_ncap</v>
          </cell>
          <cell r="C384" t="str">
            <v>-</v>
          </cell>
          <cell r="E384">
            <v>7.8117276291962297E-8</v>
          </cell>
          <cell r="F384">
            <v>1.5806161316981399E-7</v>
          </cell>
          <cell r="H384">
            <v>2.16626191153738E-8</v>
          </cell>
        </row>
        <row r="385">
          <cell r="A385" t="str">
            <v>T_B_c-ICENGA-S3</v>
          </cell>
          <cell r="B385" t="str">
            <v>VAR_cap</v>
          </cell>
          <cell r="C385" t="str">
            <v>-</v>
          </cell>
          <cell r="E385">
            <v>7.8117276291962297E-8</v>
          </cell>
          <cell r="F385">
            <v>2.3617888946177601E-7</v>
          </cell>
          <cell r="G385">
            <v>4.4518760793490068E-9</v>
          </cell>
          <cell r="H385">
            <v>2.16626191153738E-8</v>
          </cell>
          <cell r="I385">
            <v>7.41990730714565E-9</v>
          </cell>
        </row>
        <row r="386">
          <cell r="A386" t="str">
            <v>T_B_u-ICEDSL-S2</v>
          </cell>
          <cell r="B386" t="str">
            <v>VAR_fout</v>
          </cell>
          <cell r="C386" t="str">
            <v>CO2_T</v>
          </cell>
          <cell r="D386">
            <v>8.0823039666718106</v>
          </cell>
          <cell r="E386">
            <v>9.9160661810188131</v>
          </cell>
          <cell r="F386">
            <v>17.380291866819412</v>
          </cell>
        </row>
        <row r="387">
          <cell r="A387" t="str">
            <v>T_B_u-ICEDSL-S2</v>
          </cell>
          <cell r="B387" t="str">
            <v>VAR_fout</v>
          </cell>
          <cell r="C387" t="str">
            <v>TPBSu</v>
          </cell>
          <cell r="D387">
            <v>9.6442778566104108E-3</v>
          </cell>
          <cell r="E387">
            <v>1.1875348876585841E-2</v>
          </cell>
          <cell r="F387">
            <v>2.1564120711370482E-2</v>
          </cell>
        </row>
        <row r="388">
          <cell r="A388" t="str">
            <v>T_B_u-ICEDSL-S2</v>
          </cell>
          <cell r="B388" t="str">
            <v>VAR_fin</v>
          </cell>
          <cell r="C388" t="str">
            <v>TDSL</v>
          </cell>
          <cell r="D388">
            <v>0.11026335561625944</v>
          </cell>
          <cell r="E388">
            <v>0.13528057545728298</v>
          </cell>
          <cell r="F388">
            <v>0.23711175807393425</v>
          </cell>
        </row>
        <row r="389">
          <cell r="A389" t="str">
            <v>T_B_u-ICEDSL-S2</v>
          </cell>
          <cell r="B389" t="str">
            <v>VAR_ncap</v>
          </cell>
          <cell r="C389" t="str">
            <v>-</v>
          </cell>
          <cell r="E389">
            <v>6.8936689059790802E-6</v>
          </cell>
          <cell r="F389">
            <v>1.8185461001550199E-4</v>
          </cell>
        </row>
        <row r="390">
          <cell r="A390" t="str">
            <v>T_B_u-ICEDSL-S2</v>
          </cell>
          <cell r="B390" t="str">
            <v>VAR_cap</v>
          </cell>
          <cell r="C390" t="str">
            <v>-</v>
          </cell>
          <cell r="D390">
            <v>1.8437140763500996E-4</v>
          </cell>
          <cell r="E390">
            <v>2.2469866618976788E-4</v>
          </cell>
          <cell r="F390">
            <v>4.0671311717745801E-4</v>
          </cell>
          <cell r="G390">
            <v>-6.5367957949747507E-9</v>
          </cell>
          <cell r="H390">
            <v>-4.6778691978946097E-9</v>
          </cell>
        </row>
        <row r="391">
          <cell r="A391" t="str">
            <v>T_B_c-ICENGA-S4</v>
          </cell>
          <cell r="B391" t="str">
            <v>VAR_fout</v>
          </cell>
          <cell r="C391" t="str">
            <v>CO2_T</v>
          </cell>
          <cell r="F391">
            <v>2.0661895434342299E-4</v>
          </cell>
        </row>
        <row r="392">
          <cell r="A392" t="str">
            <v>T_B_c-ICENGA-S4</v>
          </cell>
          <cell r="B392" t="str">
            <v>VAR_fout</v>
          </cell>
          <cell r="C392" t="str">
            <v>TPBSc</v>
          </cell>
          <cell r="F392">
            <v>1.4534298589032499E-7</v>
          </cell>
        </row>
        <row r="393">
          <cell r="A393" t="str">
            <v>T_B_c-ICENGA-S4</v>
          </cell>
          <cell r="B393" t="str">
            <v>VAR_fin</v>
          </cell>
          <cell r="C393" t="str">
            <v>TNGA</v>
          </cell>
          <cell r="F393">
            <v>3.6634566372947335E-6</v>
          </cell>
        </row>
        <row r="394">
          <cell r="A394" t="str">
            <v>T_B_c-ICENGA-S4</v>
          </cell>
          <cell r="B394" t="str">
            <v>VAR_ncap</v>
          </cell>
          <cell r="C394" t="str">
            <v>-</v>
          </cell>
          <cell r="F394">
            <v>1.6775619798694201E-8</v>
          </cell>
        </row>
        <row r="395">
          <cell r="A395" t="str">
            <v>T_B_c-ICENGA-S4</v>
          </cell>
          <cell r="B395" t="str">
            <v>VAR_cap</v>
          </cell>
          <cell r="C395" t="str">
            <v>-</v>
          </cell>
          <cell r="F395">
            <v>1.6775619798694201E-8</v>
          </cell>
          <cell r="G395">
            <v>-1.3436871302021987E-9</v>
          </cell>
          <cell r="H395">
            <v>-1.28728941849011E-8</v>
          </cell>
        </row>
        <row r="396">
          <cell r="A396" t="str">
            <v>T_B_u-ICEDSL-S3</v>
          </cell>
          <cell r="B396" t="str">
            <v>VAR_fout</v>
          </cell>
          <cell r="C396" t="str">
            <v>CO2_T</v>
          </cell>
          <cell r="D396">
            <v>45.229701607748616</v>
          </cell>
          <cell r="E396">
            <v>66.74769539905175</v>
          </cell>
          <cell r="F396">
            <v>115.98514338123603</v>
          </cell>
        </row>
        <row r="397">
          <cell r="A397" t="str">
            <v>T_B_u-ICEDSL-S3</v>
          </cell>
          <cell r="B397" t="str">
            <v>VAR_fout</v>
          </cell>
          <cell r="C397" t="str">
            <v>TPBSu</v>
          </cell>
          <cell r="D397">
            <v>3.5757706127441689E-2</v>
          </cell>
          <cell r="E397">
            <v>5.29884386644437E-2</v>
          </cell>
          <cell r="F397">
            <v>9.5347158711271973E-2</v>
          </cell>
        </row>
        <row r="398">
          <cell r="A398" t="str">
            <v>T_B_u-ICEDSL-S3</v>
          </cell>
          <cell r="B398" t="str">
            <v>VAR_fin</v>
          </cell>
          <cell r="C398" t="str">
            <v>TDSL</v>
          </cell>
          <cell r="D398">
            <v>0.61704913516710291</v>
          </cell>
          <cell r="E398">
            <v>0.91060975987792347</v>
          </cell>
          <cell r="F398">
            <v>1.5823348346689801</v>
          </cell>
        </row>
        <row r="399">
          <cell r="A399" t="str">
            <v>T_B_u-ICEDSL-S3</v>
          </cell>
          <cell r="B399" t="str">
            <v>VAR_ncap</v>
          </cell>
          <cell r="C399" t="str">
            <v>-</v>
          </cell>
          <cell r="E399">
            <v>4.7088202168809302E-5</v>
          </cell>
          <cell r="F399">
            <v>7.9835268860880301E-4</v>
          </cell>
        </row>
        <row r="400">
          <cell r="A400" t="str">
            <v>T_B_u-ICEDSL-S3</v>
          </cell>
          <cell r="B400" t="str">
            <v>VAR_cap</v>
          </cell>
          <cell r="C400" t="str">
            <v>-</v>
          </cell>
          <cell r="D400">
            <v>8.0653764538018589E-4</v>
          </cell>
          <cell r="E400">
            <v>9.9951252290075778E-4</v>
          </cell>
          <cell r="F400">
            <v>1.797997149568048E-3</v>
          </cell>
          <cell r="G400">
            <v>-7.0579922559644431E-9</v>
          </cell>
        </row>
        <row r="401">
          <cell r="A401" t="str">
            <v>T_B_u-ICEDSL-S4</v>
          </cell>
          <cell r="B401" t="str">
            <v>VAR_fout</v>
          </cell>
          <cell r="C401" t="str">
            <v>CO2_T</v>
          </cell>
          <cell r="D401">
            <v>0.23042089390291359</v>
          </cell>
          <cell r="F401">
            <v>7.8097082128856989E-3</v>
          </cell>
        </row>
        <row r="402">
          <cell r="A402" t="str">
            <v>T_B_u-ICEDSL-S4</v>
          </cell>
          <cell r="B402" t="str">
            <v>VAR_fout</v>
          </cell>
          <cell r="C402" t="str">
            <v>TPBSu</v>
          </cell>
          <cell r="D402">
            <v>1.2148645003565064E-4</v>
          </cell>
          <cell r="F402">
            <v>4.1349976168609718E-6</v>
          </cell>
        </row>
        <row r="403">
          <cell r="A403" t="str">
            <v>T_B_u-ICEDSL-S4</v>
          </cell>
          <cell r="B403" t="str">
            <v>VAR_fin</v>
          </cell>
          <cell r="C403" t="str">
            <v>TDSL</v>
          </cell>
          <cell r="D403">
            <v>3.1435319768473935E-3</v>
          </cell>
          <cell r="F403">
            <v>1.0654445038043247E-4</v>
          </cell>
        </row>
        <row r="404">
          <cell r="A404" t="str">
            <v>T_B_u-ICEDSL-S4</v>
          </cell>
          <cell r="B404" t="str">
            <v>VAR_ncap</v>
          </cell>
          <cell r="C404" t="str">
            <v>-</v>
          </cell>
          <cell r="E404">
            <v>1.1060292052026501E-8</v>
          </cell>
          <cell r="F404">
            <v>1.2529036244671299E-8</v>
          </cell>
        </row>
        <row r="405">
          <cell r="A405" t="str">
            <v>T_B_u-ICEDSL-S4</v>
          </cell>
          <cell r="B405" t="str">
            <v>VAR_cap</v>
          </cell>
          <cell r="C405" t="str">
            <v>-</v>
          </cell>
          <cell r="D405">
            <v>2.7919041313590693E-6</v>
          </cell>
          <cell r="E405">
            <v>8.695431945752587E-8</v>
          </cell>
          <cell r="F405">
            <v>1.5550564981124844E-7</v>
          </cell>
          <cell r="G405">
            <v>-7.842066869809848E-9</v>
          </cell>
        </row>
        <row r="406">
          <cell r="A406" t="str">
            <v>D-TBDS1intl</v>
          </cell>
          <cell r="B406" t="str">
            <v>VAR_fout</v>
          </cell>
          <cell r="C406" t="str">
            <v>TKERintl_SAF</v>
          </cell>
          <cell r="G406">
            <v>5.0489467091086597</v>
          </cell>
          <cell r="H406">
            <v>26.920996451433101</v>
          </cell>
          <cell r="I406">
            <v>75.588521106828296</v>
          </cell>
        </row>
        <row r="407">
          <cell r="A407" t="str">
            <v>D-TBDS1intl</v>
          </cell>
          <cell r="B407" t="str">
            <v>VAR_fin</v>
          </cell>
          <cell r="C407" t="str">
            <v>BDS1</v>
          </cell>
          <cell r="G407">
            <v>5.0489467091086597</v>
          </cell>
          <cell r="H407">
            <v>26.920996451433101</v>
          </cell>
          <cell r="I407">
            <v>75.588521106828296</v>
          </cell>
        </row>
        <row r="408">
          <cell r="A408" t="str">
            <v>T_B_c-ICENGAEXT</v>
          </cell>
          <cell r="B408" t="str">
            <v>VAR_fout</v>
          </cell>
          <cell r="C408" t="str">
            <v>CO2_T</v>
          </cell>
          <cell r="D408">
            <v>7.7851651403917097E-3</v>
          </cell>
          <cell r="E408">
            <v>7.8060407853494601E-3</v>
          </cell>
          <cell r="F408">
            <v>7.7298293369912003E-3</v>
          </cell>
        </row>
        <row r="409">
          <cell r="A409" t="str">
            <v>T_B_c-ICENGAEXT</v>
          </cell>
          <cell r="B409" t="str">
            <v>VAR_fout</v>
          </cell>
          <cell r="C409" t="str">
            <v>TPBSc</v>
          </cell>
          <cell r="D409">
            <v>1.3734811396973183E-3</v>
          </cell>
          <cell r="E409">
            <v>1.1040285007044687E-3</v>
          </cell>
          <cell r="F409">
            <v>6.875463389560577E-4</v>
          </cell>
        </row>
        <row r="410">
          <cell r="A410" t="str">
            <v>T_B_c-ICENGAEXT</v>
          </cell>
          <cell r="B410" t="str">
            <v>VAR_fin</v>
          </cell>
          <cell r="C410" t="str">
            <v>TNGA</v>
          </cell>
          <cell r="D410">
            <v>1.3803484291474656E-4</v>
          </cell>
          <cell r="E410">
            <v>1.3840497846364291E-4</v>
          </cell>
          <cell r="F410">
            <v>1.3705371164878015E-4</v>
          </cell>
        </row>
        <row r="411">
          <cell r="A411" t="str">
            <v>T_B_c-ICENGAEXT</v>
          </cell>
          <cell r="B411" t="str">
            <v>VAR_cap</v>
          </cell>
          <cell r="C411" t="str">
            <v>-</v>
          </cell>
          <cell r="D411">
            <v>2.9722792607802899E-5</v>
          </cell>
          <cell r="E411">
            <v>2.3778234086242301E-5</v>
          </cell>
          <cell r="F411">
            <v>1.4861396303901497E-5</v>
          </cell>
        </row>
        <row r="412">
          <cell r="A412" t="str">
            <v>T_B_u-ICEDSLEXT</v>
          </cell>
          <cell r="B412" t="str">
            <v>VAR_fout</v>
          </cell>
          <cell r="C412" t="str">
            <v>CO2_T</v>
          </cell>
          <cell r="D412">
            <v>1.27097817539925</v>
          </cell>
          <cell r="E412">
            <v>1.2694284362355099</v>
          </cell>
          <cell r="F412">
            <v>1.2644543646037101</v>
          </cell>
        </row>
        <row r="413">
          <cell r="A413" t="str">
            <v>T_B_u-ICEDSLEXT</v>
          </cell>
          <cell r="B413" t="str">
            <v>VAR_fout</v>
          </cell>
          <cell r="C413" t="str">
            <v>TPBSu</v>
          </cell>
          <cell r="D413">
            <v>0.24220857200193061</v>
          </cell>
          <cell r="E413">
            <v>0.19378433887839014</v>
          </cell>
          <cell r="F413">
            <v>0.12111455001504205</v>
          </cell>
        </row>
        <row r="414">
          <cell r="A414" t="str">
            <v>T_B_u-ICEDSLEXT</v>
          </cell>
          <cell r="B414" t="str">
            <v>VAR_fin</v>
          </cell>
          <cell r="C414" t="str">
            <v>TDSL</v>
          </cell>
          <cell r="D414">
            <v>1.733940212004435E-2</v>
          </cell>
          <cell r="E414">
            <v>1.7318259703076547E-2</v>
          </cell>
          <cell r="F414">
            <v>1.7250400608509037E-2</v>
          </cell>
        </row>
        <row r="415">
          <cell r="A415" t="str">
            <v>T_B_u-ICEDSLEXT</v>
          </cell>
          <cell r="B415" t="str">
            <v>VAR_cap</v>
          </cell>
          <cell r="C415" t="str">
            <v>-</v>
          </cell>
          <cell r="D415">
            <v>4.5678362175525303E-3</v>
          </cell>
          <cell r="E415">
            <v>3.6542689740420198E-3</v>
          </cell>
          <cell r="F415">
            <v>2.2838883865172683E-3</v>
          </cell>
        </row>
        <row r="416">
          <cell r="A416" t="str">
            <v>D-T-ELC-LGV</v>
          </cell>
          <cell r="B416" t="str">
            <v>VAR_fout</v>
          </cell>
          <cell r="C416" t="str">
            <v>T-ELC-LGV_BatSTGin</v>
          </cell>
          <cell r="D416">
            <v>3.5486046348163484E-2</v>
          </cell>
          <cell r="E416">
            <v>7.8875713132635278E-2</v>
          </cell>
          <cell r="F416">
            <v>0.1172261978565613</v>
          </cell>
          <cell r="G416">
            <v>1.6757466459278931</v>
          </cell>
          <cell r="H416">
            <v>7.3345111148685307</v>
          </cell>
          <cell r="I416">
            <v>7.9336483474964297</v>
          </cell>
        </row>
        <row r="417">
          <cell r="A417" t="str">
            <v>D-T-ELC-LGV</v>
          </cell>
          <cell r="B417" t="str">
            <v>VAR_fin</v>
          </cell>
          <cell r="C417" t="str">
            <v>TELC</v>
          </cell>
          <cell r="D417">
            <v>3.5486046348163484E-2</v>
          </cell>
          <cell r="E417">
            <v>7.8875713132635278E-2</v>
          </cell>
          <cell r="F417">
            <v>0.1172261978565613</v>
          </cell>
          <cell r="G417">
            <v>1.6757466459278931</v>
          </cell>
          <cell r="H417">
            <v>7.3345111148685307</v>
          </cell>
          <cell r="I417">
            <v>7.9336483474964297</v>
          </cell>
        </row>
        <row r="418">
          <cell r="A418" t="str">
            <v>D-T-ELC-LGV</v>
          </cell>
          <cell r="B418" t="str">
            <v>VAR_ncap</v>
          </cell>
          <cell r="C418" t="str">
            <v>-</v>
          </cell>
          <cell r="D418">
            <v>3.7529346124598401E-3</v>
          </cell>
          <cell r="E418">
            <v>4.5845850667391198E-3</v>
          </cell>
          <cell r="F418">
            <v>4.0552634181369902E-3</v>
          </cell>
          <cell r="G418">
            <v>0.166346528660823</v>
          </cell>
          <cell r="H418">
            <v>0.41340009987142401</v>
          </cell>
          <cell r="I418">
            <v>0.57292794589942797</v>
          </cell>
        </row>
        <row r="419">
          <cell r="A419" t="str">
            <v>D-T-ELC-LGV</v>
          </cell>
          <cell r="B419" t="str">
            <v>VAR_cap</v>
          </cell>
          <cell r="C419" t="str">
            <v>-</v>
          </cell>
          <cell r="D419">
            <v>3.7529346124598401E-3</v>
          </cell>
          <cell r="E419">
            <v>8.3375196791989608E-3</v>
          </cell>
          <cell r="F419">
            <v>1.2392783097335901E-2</v>
          </cell>
          <cell r="G419">
            <v>0.177124950663894</v>
          </cell>
          <cell r="H419">
            <v>0.77525219746156404</v>
          </cell>
          <cell r="I419">
            <v>0.83858068403541197</v>
          </cell>
        </row>
        <row r="420">
          <cell r="A420" t="str">
            <v>T_B_c-FCLH2O-S1</v>
          </cell>
          <cell r="B420" t="str">
            <v>VAR_cap</v>
          </cell>
          <cell r="C420" t="str">
            <v>-</v>
          </cell>
          <cell r="H420">
            <v>-2.1186385691015E-9</v>
          </cell>
          <cell r="I420">
            <v>2.66241641668941E-9</v>
          </cell>
        </row>
        <row r="421">
          <cell r="A421" t="str">
            <v>T_B_c-FCLH2O-S2</v>
          </cell>
          <cell r="B421" t="str">
            <v>VAR_ncap</v>
          </cell>
          <cell r="C421" t="str">
            <v>-</v>
          </cell>
          <cell r="G421">
            <v>1.1423576099780599E-8</v>
          </cell>
        </row>
        <row r="422">
          <cell r="A422" t="str">
            <v>T_B_c-FCLH2O-S2</v>
          </cell>
          <cell r="B422" t="str">
            <v>VAR_cap</v>
          </cell>
          <cell r="C422" t="str">
            <v>-</v>
          </cell>
          <cell r="G422">
            <v>1.1423576099780599E-8</v>
          </cell>
          <cell r="H422">
            <v>-1.143399499024005E-8</v>
          </cell>
        </row>
        <row r="423">
          <cell r="A423" t="str">
            <v>T_B_c-FCLH2O-S3</v>
          </cell>
          <cell r="B423" t="str">
            <v>VAR_fout</v>
          </cell>
          <cell r="C423" t="str">
            <v>TPBSc</v>
          </cell>
          <cell r="G423">
            <v>8.4354822087212308E-7</v>
          </cell>
          <cell r="H423">
            <v>9.638100058296829E-8</v>
          </cell>
        </row>
        <row r="424">
          <cell r="A424" t="str">
            <v>T_B_c-FCLH2O-S3</v>
          </cell>
          <cell r="B424" t="str">
            <v>VAR_fin</v>
          </cell>
          <cell r="C424" t="str">
            <v>TH2O</v>
          </cell>
          <cell r="G424">
            <v>7.4578747927281868E-6</v>
          </cell>
          <cell r="H424">
            <v>7.4225377196417198E-7</v>
          </cell>
        </row>
        <row r="425">
          <cell r="A425" t="str">
            <v>T_B_c-FCLH2O-S3</v>
          </cell>
          <cell r="B425" t="str">
            <v>VAR_ncap</v>
          </cell>
          <cell r="C425" t="str">
            <v>-</v>
          </cell>
          <cell r="G425">
            <v>3.3471322680337703E-8</v>
          </cell>
          <cell r="H425">
            <v>1.59377812342171E-8</v>
          </cell>
        </row>
        <row r="426">
          <cell r="A426" t="str">
            <v>T_B_c-FCLH2O-S3</v>
          </cell>
          <cell r="B426" t="str">
            <v>VAR_cap</v>
          </cell>
          <cell r="C426" t="str">
            <v>-</v>
          </cell>
          <cell r="G426">
            <v>3.3471322680337703E-8</v>
          </cell>
          <cell r="H426">
            <v>1.59377812342171E-8</v>
          </cell>
          <cell r="I426">
            <v>5.4590286986826399E-9</v>
          </cell>
        </row>
        <row r="427">
          <cell r="A427" t="str">
            <v>T_C-HYBGSLEXT</v>
          </cell>
          <cell r="B427" t="str">
            <v>VAR_fout</v>
          </cell>
          <cell r="C427" t="str">
            <v>CO2_T</v>
          </cell>
          <cell r="D427">
            <v>92.550090017841697</v>
          </cell>
          <cell r="E427">
            <v>91.724580794098102</v>
          </cell>
          <cell r="F427">
            <v>68.278518496691504</v>
          </cell>
          <cell r="G427">
            <v>32.3955709383361</v>
          </cell>
        </row>
        <row r="428">
          <cell r="A428" t="str">
            <v>T_C-HYBGSLEXT</v>
          </cell>
          <cell r="B428" t="str">
            <v>VAR_fout</v>
          </cell>
          <cell r="C428" t="str">
            <v>TPCAR</v>
          </cell>
          <cell r="D428">
            <v>0.61925208415062449</v>
          </cell>
          <cell r="E428">
            <v>0.62769468321928223</v>
          </cell>
          <cell r="F428">
            <v>0.48284153653252082</v>
          </cell>
          <cell r="G428">
            <v>0.24142147609074874</v>
          </cell>
        </row>
        <row r="429">
          <cell r="A429" t="str">
            <v>T_C-HYBGSLEXT</v>
          </cell>
          <cell r="B429" t="str">
            <v>VAR_fin</v>
          </cell>
          <cell r="C429" t="str">
            <v>TGSL</v>
          </cell>
          <cell r="D429">
            <v>1.2540662604043584</v>
          </cell>
          <cell r="E429">
            <v>1.242880498565015</v>
          </cell>
          <cell r="F429">
            <v>0.92518317746194445</v>
          </cell>
          <cell r="G429">
            <v>0.43896437585821274</v>
          </cell>
        </row>
        <row r="430">
          <cell r="A430" t="str">
            <v>T_C-HYBGSLEXT</v>
          </cell>
          <cell r="B430" t="str">
            <v>VAR_cap</v>
          </cell>
          <cell r="C430" t="str">
            <v>-</v>
          </cell>
          <cell r="D430">
            <v>6.5841999999999998E-2</v>
          </cell>
          <cell r="E430">
            <v>5.7063066666666697E-2</v>
          </cell>
          <cell r="F430">
            <v>4.3894654214787304E-2</v>
          </cell>
          <cell r="G430">
            <v>2.1947333333333301E-2</v>
          </cell>
        </row>
        <row r="431">
          <cell r="A431" t="str">
            <v>TPAVDKEREXT</v>
          </cell>
          <cell r="B431" t="str">
            <v>VAR_fout</v>
          </cell>
          <cell r="C431" t="str">
            <v>CO2_T</v>
          </cell>
          <cell r="D431">
            <v>79.576349423418094</v>
          </cell>
          <cell r="E431">
            <v>100.796237247683</v>
          </cell>
          <cell r="F431">
            <v>132.626068984081</v>
          </cell>
          <cell r="G431">
            <v>185.675788544743</v>
          </cell>
          <cell r="H431">
            <v>154.38211110512901</v>
          </cell>
          <cell r="I431">
            <v>123.088433665514</v>
          </cell>
        </row>
        <row r="432">
          <cell r="A432" t="str">
            <v>TPAVDKEREXT</v>
          </cell>
          <cell r="B432" t="str">
            <v>VAR_fout</v>
          </cell>
          <cell r="C432" t="str">
            <v>TPAVD</v>
          </cell>
          <cell r="D432">
            <v>1.0930817228491501</v>
          </cell>
          <cell r="E432">
            <v>1.3845636984571901</v>
          </cell>
          <cell r="F432">
            <v>1.82178666186924</v>
          </cell>
          <cell r="G432">
            <v>2.5504916008893299</v>
          </cell>
          <cell r="H432">
            <v>2.1206333943012199</v>
          </cell>
          <cell r="I432">
            <v>1.6907751877131001</v>
          </cell>
        </row>
        <row r="433">
          <cell r="A433" t="str">
            <v>TPAVDKEREXT</v>
          </cell>
          <cell r="B433" t="str">
            <v>VAR_fin</v>
          </cell>
          <cell r="C433" t="str">
            <v>TKER</v>
          </cell>
          <cell r="D433">
            <v>1.0930817228491501</v>
          </cell>
          <cell r="E433">
            <v>1.3845636984571901</v>
          </cell>
          <cell r="F433">
            <v>1.82178666186924</v>
          </cell>
          <cell r="G433">
            <v>2.5504916008893299</v>
          </cell>
          <cell r="H433">
            <v>2.1206333943012199</v>
          </cell>
          <cell r="I433">
            <v>1.6907751877131001</v>
          </cell>
        </row>
        <row r="434">
          <cell r="A434" t="str">
            <v>TPAVDKEREXT</v>
          </cell>
          <cell r="B434" t="str">
            <v>VAR_ncap</v>
          </cell>
          <cell r="C434" t="str">
            <v>-</v>
          </cell>
          <cell r="D434">
            <v>2.53115013783122</v>
          </cell>
          <cell r="E434">
            <v>3.3435766793505399</v>
          </cell>
          <cell r="F434">
            <v>2.9906250204683</v>
          </cell>
          <cell r="G434">
            <v>3.1306471146743098</v>
          </cell>
          <cell r="H434">
            <v>1.6675354163870799</v>
          </cell>
          <cell r="I434">
            <v>1.3441099626872</v>
          </cell>
        </row>
        <row r="435">
          <cell r="A435" t="str">
            <v>TPAVDKEREXT</v>
          </cell>
          <cell r="B435" t="str">
            <v>VAR_cap</v>
          </cell>
          <cell r="C435" t="str">
            <v>-</v>
          </cell>
          <cell r="D435">
            <v>3.6242318606803701</v>
          </cell>
          <cell r="E435">
            <v>6.9678085400309104</v>
          </cell>
          <cell r="F435">
            <v>8.3069654652456695</v>
          </cell>
          <cell r="G435">
            <v>8.2535387003909726</v>
          </cell>
          <cell r="H435">
            <v>4.7042647730428442</v>
          </cell>
          <cell r="I435">
            <v>2.5375892588579596</v>
          </cell>
        </row>
        <row r="436">
          <cell r="A436" t="str">
            <v>T_C-ICE-GSL-S1</v>
          </cell>
          <cell r="B436" t="str">
            <v>VAR_fout</v>
          </cell>
          <cell r="C436" t="str">
            <v>CO2_T</v>
          </cell>
          <cell r="D436">
            <v>36.608482393152435</v>
          </cell>
          <cell r="E436">
            <v>40.647287076868452</v>
          </cell>
          <cell r="F436">
            <v>99.132236935560258</v>
          </cell>
          <cell r="G436">
            <v>83.769078254375515</v>
          </cell>
          <cell r="H436">
            <v>6.0247968692412899</v>
          </cell>
        </row>
        <row r="437">
          <cell r="A437" t="str">
            <v>T_C-ICE-GSL-S1</v>
          </cell>
          <cell r="B437" t="str">
            <v>VAR_fout</v>
          </cell>
          <cell r="C437" t="str">
            <v>TPCAR</v>
          </cell>
          <cell r="D437">
            <v>0.33882427247173524</v>
          </cell>
          <cell r="E437">
            <v>0.3723770301271157</v>
          </cell>
          <cell r="F437">
            <v>0.83444990361162974</v>
          </cell>
          <cell r="G437">
            <v>0.70469793494550426</v>
          </cell>
          <cell r="H437">
            <v>4.8897748996695009E-2</v>
          </cell>
        </row>
        <row r="438">
          <cell r="A438" t="str">
            <v>T_C-ICE-GSL-S1</v>
          </cell>
          <cell r="B438" t="str">
            <v>VAR_fin</v>
          </cell>
          <cell r="C438" t="str">
            <v>TGSL</v>
          </cell>
          <cell r="D438">
            <v>0.49604989692618601</v>
          </cell>
          <cell r="E438">
            <v>0.55077624765404443</v>
          </cell>
          <cell r="F438">
            <v>1.3432552430292726</v>
          </cell>
          <cell r="G438">
            <v>1.1350823611703991</v>
          </cell>
          <cell r="H438">
            <v>8.1636813946359091E-2</v>
          </cell>
        </row>
        <row r="439">
          <cell r="A439" t="str">
            <v>T_C-ICE-GSL-S1</v>
          </cell>
          <cell r="B439" t="str">
            <v>VAR_ncap</v>
          </cell>
          <cell r="C439" t="str">
            <v>-</v>
          </cell>
          <cell r="E439">
            <v>2.90743581790454E-5</v>
          </cell>
          <cell r="F439">
            <v>8.8665797642771799E-2</v>
          </cell>
          <cell r="G439">
            <v>7.3010962877158303E-5</v>
          </cell>
        </row>
        <row r="440">
          <cell r="A440" t="str">
            <v>T_C-ICE-GSL-S1</v>
          </cell>
          <cell r="B440" t="str">
            <v>VAR_cap</v>
          </cell>
          <cell r="C440" t="str">
            <v>-</v>
          </cell>
          <cell r="D440">
            <v>3.6542427971645246E-2</v>
          </cell>
          <cell r="E440">
            <v>3.9785745995798642E-2</v>
          </cell>
          <cell r="F440">
            <v>0.1268054805488977</v>
          </cell>
          <cell r="G440">
            <v>0.10709061580092716</v>
          </cell>
          <cell r="H440">
            <v>7.4296094337653901E-3</v>
          </cell>
        </row>
        <row r="441">
          <cell r="A441" t="str">
            <v>V2G</v>
          </cell>
          <cell r="B441" t="str">
            <v>VAR_fout</v>
          </cell>
          <cell r="C441" t="str">
            <v>ELC35</v>
          </cell>
          <cell r="G441">
            <v>1.94611667195798E-2</v>
          </cell>
          <cell r="H441">
            <v>0.72584727529464521</v>
          </cell>
          <cell r="I441">
            <v>1.9635639087337717</v>
          </cell>
        </row>
        <row r="442">
          <cell r="A442" t="str">
            <v>V2G</v>
          </cell>
          <cell r="B442" t="str">
            <v>VAR_fin</v>
          </cell>
          <cell r="C442" t="str">
            <v>T-ELC-Bus_c_BatSTGout_S1</v>
          </cell>
          <cell r="G442">
            <v>6.84675649284299E-4</v>
          </cell>
          <cell r="H442">
            <v>2.5583005973489658E-3</v>
          </cell>
          <cell r="I442">
            <v>1.3655606637525037E-3</v>
          </cell>
        </row>
        <row r="443">
          <cell r="A443" t="str">
            <v>V2G</v>
          </cell>
          <cell r="B443" t="str">
            <v>VAR_fin</v>
          </cell>
          <cell r="C443" t="str">
            <v>T-ELC-Bus_c_BatSTGout_S2</v>
          </cell>
          <cell r="G443">
            <v>6.2347149999380526E-4</v>
          </cell>
          <cell r="H443">
            <v>2.7890599318652438E-3</v>
          </cell>
          <cell r="I443">
            <v>1.5051015540337128E-3</v>
          </cell>
        </row>
        <row r="444">
          <cell r="A444" t="str">
            <v>V2G</v>
          </cell>
          <cell r="B444" t="str">
            <v>VAR_fin</v>
          </cell>
          <cell r="C444" t="str">
            <v>T-ELC-Bus_c_BatSTGout_S3</v>
          </cell>
          <cell r="G444">
            <v>7.4577964968788326E-4</v>
          </cell>
          <cell r="H444">
            <v>1.5547119721824329E-3</v>
          </cell>
          <cell r="I444">
            <v>9.5917324908139235E-4</v>
          </cell>
        </row>
        <row r="445">
          <cell r="A445" t="str">
            <v>V2G</v>
          </cell>
          <cell r="B445" t="str">
            <v>VAR_fin</v>
          </cell>
          <cell r="C445" t="str">
            <v>T-ELC-Bus_c_BatSTGout_S4</v>
          </cell>
          <cell r="G445">
            <v>6.3955083602125805E-6</v>
          </cell>
          <cell r="H445">
            <v>1.5133156645032896E-4</v>
          </cell>
          <cell r="I445">
            <v>1.290081179251515E-4</v>
          </cell>
        </row>
        <row r="446">
          <cell r="A446" t="str">
            <v>V2G</v>
          </cell>
          <cell r="B446" t="str">
            <v>VAR_fin</v>
          </cell>
          <cell r="C446" t="str">
            <v>T-ELC-car-BatSTGOut_S1</v>
          </cell>
          <cell r="G446">
            <v>2.1515561225740804E-3</v>
          </cell>
          <cell r="H446">
            <v>0.27136284199881655</v>
          </cell>
          <cell r="I446">
            <v>0.73412058297753968</v>
          </cell>
        </row>
        <row r="447">
          <cell r="A447" t="str">
            <v>V2G</v>
          </cell>
          <cell r="B447" t="str">
            <v>VAR_fin</v>
          </cell>
          <cell r="C447" t="str">
            <v>T-ELC-car-BatSTGOut_S2</v>
          </cell>
          <cell r="G447">
            <v>1.4806479099775231E-3</v>
          </cell>
          <cell r="H447">
            <v>0.10095737784562038</v>
          </cell>
          <cell r="I447">
            <v>0.25160865977812674</v>
          </cell>
        </row>
        <row r="448">
          <cell r="A448" t="str">
            <v>V2G</v>
          </cell>
          <cell r="B448" t="str">
            <v>VAR_fin</v>
          </cell>
          <cell r="C448" t="str">
            <v>T-ELC-car-BatSTGOut_S3</v>
          </cell>
          <cell r="G448">
            <v>2.5855458832553671E-3</v>
          </cell>
          <cell r="H448">
            <v>9.6193011815867535E-2</v>
          </cell>
          <cell r="I448">
            <v>0.24132088021572307</v>
          </cell>
        </row>
        <row r="449">
          <cell r="A449" t="str">
            <v>V2G</v>
          </cell>
          <cell r="B449" t="str">
            <v>VAR_fin</v>
          </cell>
          <cell r="C449" t="str">
            <v>T-ELC-car-BatSTGOut_S4</v>
          </cell>
          <cell r="G449">
            <v>1.4184382540362288E-3</v>
          </cell>
          <cell r="H449">
            <v>0.10505219937961813</v>
          </cell>
          <cell r="I449">
            <v>0.24661909762006926</v>
          </cell>
        </row>
        <row r="450">
          <cell r="A450" t="str">
            <v>V2G</v>
          </cell>
          <cell r="B450" t="str">
            <v>VAR_fin</v>
          </cell>
          <cell r="C450" t="str">
            <v>T-ELC-car-PlgSTGOut_S1</v>
          </cell>
          <cell r="G450">
            <v>2.6889061198240522E-4</v>
          </cell>
          <cell r="H450">
            <v>4.7369473017476287E-4</v>
          </cell>
          <cell r="I450">
            <v>1.9372019037605166E-4</v>
          </cell>
        </row>
        <row r="451">
          <cell r="A451" t="str">
            <v>V2G</v>
          </cell>
          <cell r="B451" t="str">
            <v>VAR_fin</v>
          </cell>
          <cell r="C451" t="str">
            <v>T-ELC-car-PlgSTGOut_S2</v>
          </cell>
          <cell r="G451">
            <v>1.1938601507127768E-4</v>
          </cell>
          <cell r="H451">
            <v>9.0088462496748056E-4</v>
          </cell>
          <cell r="I451">
            <v>1.0095224718493776E-3</v>
          </cell>
        </row>
        <row r="452">
          <cell r="A452" t="str">
            <v>V2G</v>
          </cell>
          <cell r="B452" t="str">
            <v>VAR_fin</v>
          </cell>
          <cell r="C452" t="str">
            <v>T-ELC-car-PlgSTGOut_S3</v>
          </cell>
          <cell r="G452">
            <v>1.333172595616044E-3</v>
          </cell>
          <cell r="H452">
            <v>0.10645708160495018</v>
          </cell>
          <cell r="I452">
            <v>0.45648605973497991</v>
          </cell>
        </row>
        <row r="453">
          <cell r="A453" t="str">
            <v>V2G</v>
          </cell>
          <cell r="B453" t="str">
            <v>VAR_fin</v>
          </cell>
          <cell r="C453" t="str">
            <v>T-ELC-TWSTGout_S1</v>
          </cell>
          <cell r="G453">
            <v>1.1888974310730212E-3</v>
          </cell>
          <cell r="H453">
            <v>1.7081556031213543E-3</v>
          </cell>
          <cell r="I453">
            <v>5.4497410951282073E-4</v>
          </cell>
        </row>
        <row r="454">
          <cell r="A454" t="str">
            <v>V2G</v>
          </cell>
          <cell r="B454" t="str">
            <v>VAR_fin</v>
          </cell>
          <cell r="C454" t="str">
            <v>T-ELC-car-PlgSTGOut_S4</v>
          </cell>
          <cell r="G454">
            <v>8.4565182093971819E-5</v>
          </cell>
          <cell r="H454">
            <v>3.1005888830757458E-3</v>
          </cell>
          <cell r="I454">
            <v>3.7946272265571978E-4</v>
          </cell>
        </row>
        <row r="455">
          <cell r="A455" t="str">
            <v>V2G</v>
          </cell>
          <cell r="B455" t="str">
            <v>VAR_fin</v>
          </cell>
          <cell r="C455" t="str">
            <v>T-ELC-TWSTGout_S2</v>
          </cell>
          <cell r="G455">
            <v>1.6745761456088933E-3</v>
          </cell>
          <cell r="H455">
            <v>2.2926856210504637E-3</v>
          </cell>
          <cell r="I455">
            <v>1.7558867728383542E-3</v>
          </cell>
        </row>
        <row r="456">
          <cell r="A456" t="str">
            <v>V2G</v>
          </cell>
          <cell r="B456" t="str">
            <v>VAR_fin</v>
          </cell>
          <cell r="C456" t="str">
            <v>T-ELC-TWSTGout_S3</v>
          </cell>
          <cell r="G456">
            <v>2.0635475878297157E-3</v>
          </cell>
          <cell r="H456">
            <v>4.1335630389581074E-3</v>
          </cell>
          <cell r="I456">
            <v>2.6318444590816051E-3</v>
          </cell>
        </row>
        <row r="457">
          <cell r="A457" t="str">
            <v>V2G</v>
          </cell>
          <cell r="B457" t="str">
            <v>VAR_fin</v>
          </cell>
          <cell r="C457" t="str">
            <v>T-ELC-TWSTGout_S4</v>
          </cell>
          <cell r="G457">
            <v>2.1662585663650646E-3</v>
          </cell>
          <cell r="H457">
            <v>4.6641899221321727E-3</v>
          </cell>
          <cell r="I457">
            <v>4.1248215922393893E-3</v>
          </cell>
        </row>
        <row r="458">
          <cell r="A458" t="str">
            <v>V2G</v>
          </cell>
          <cell r="B458" t="str">
            <v>VAR_fin</v>
          </cell>
          <cell r="C458" t="str">
            <v>T-ELC-Bus_u_BatSTGout_S1</v>
          </cell>
          <cell r="G458">
            <v>7.6547544446946142E-5</v>
          </cell>
          <cell r="H458">
            <v>9.7409853353334002E-5</v>
          </cell>
          <cell r="I458">
            <v>8.3756688493127055E-5</v>
          </cell>
        </row>
        <row r="459">
          <cell r="A459" t="str">
            <v>V2G</v>
          </cell>
          <cell r="B459" t="str">
            <v>VAR_fin</v>
          </cell>
          <cell r="C459" t="str">
            <v>T-ELC-Bus_u_BatSTGout_S2</v>
          </cell>
          <cell r="G459">
            <v>6.3842240883978931E-5</v>
          </cell>
          <cell r="H459">
            <v>8.5347910547495416E-5</v>
          </cell>
          <cell r="I459">
            <v>7.5252820804717682E-5</v>
          </cell>
        </row>
        <row r="460">
          <cell r="A460" t="str">
            <v>V2G</v>
          </cell>
          <cell r="B460" t="str">
            <v>VAR_fin</v>
          </cell>
          <cell r="C460" t="str">
            <v>T-ELC-Bus_u_BatSTGout_S3</v>
          </cell>
          <cell r="G460">
            <v>3.2920478735314307E-5</v>
          </cell>
          <cell r="H460">
            <v>4.239346037872156E-5</v>
          </cell>
          <cell r="I460">
            <v>4.0023314427119357E-5</v>
          </cell>
        </row>
        <row r="461">
          <cell r="A461" t="str">
            <v>V2G</v>
          </cell>
          <cell r="B461" t="str">
            <v>VAR_fin</v>
          </cell>
          <cell r="C461" t="str">
            <v>T-ELC-Bus_u_BatSTGout_S4</v>
          </cell>
          <cell r="G461">
            <v>7.6587266435646783E-5</v>
          </cell>
          <cell r="H461">
            <v>1.2156961302638326E-4</v>
          </cell>
          <cell r="I461">
            <v>8.7327343004340845E-5</v>
          </cell>
        </row>
        <row r="462">
          <cell r="A462" t="str">
            <v>V2G</v>
          </cell>
          <cell r="B462" t="str">
            <v>VAR_fin</v>
          </cell>
          <cell r="C462" t="str">
            <v>T-ELC-LGV_BatSTGout</v>
          </cell>
          <cell r="G462">
            <v>3.5523168839749993E-4</v>
          </cell>
          <cell r="H462">
            <v>2.7926454085553743E-4</v>
          </cell>
          <cell r="I462">
            <v>2.0571735925896568E-4</v>
          </cell>
        </row>
        <row r="463">
          <cell r="A463" t="str">
            <v>V2G</v>
          </cell>
          <cell r="B463" t="str">
            <v>VAR_fin</v>
          </cell>
          <cell r="C463" t="str">
            <v>T-ELC-HGV_BatSTGout</v>
          </cell>
          <cell r="G463">
            <v>3.533440987051832E-4</v>
          </cell>
          <cell r="H463">
            <v>2.0959498607858191E-2</v>
          </cell>
          <cell r="I463">
            <v>1.8386354108201428E-2</v>
          </cell>
        </row>
        <row r="464">
          <cell r="A464" t="str">
            <v>V2G</v>
          </cell>
          <cell r="B464" t="str">
            <v>VAR_ncap</v>
          </cell>
          <cell r="C464" t="str">
            <v>-</v>
          </cell>
          <cell r="G464">
            <v>2.4513462344552799E-3</v>
          </cell>
          <cell r="H464">
            <v>1.36430987501638</v>
          </cell>
          <cell r="I464">
            <v>3.0942886745259401</v>
          </cell>
        </row>
        <row r="465">
          <cell r="A465" t="str">
            <v>V2G</v>
          </cell>
          <cell r="B465" t="str">
            <v>VAR_cap</v>
          </cell>
          <cell r="C465" t="str">
            <v>-</v>
          </cell>
          <cell r="G465">
            <v>2.4513462344552799E-3</v>
          </cell>
          <cell r="H465">
            <v>1.9023713696097502</v>
          </cell>
          <cell r="I465">
            <v>4.3113030312996043</v>
          </cell>
        </row>
        <row r="466">
          <cell r="A466" t="str">
            <v>TPSHPELCEXT</v>
          </cell>
          <cell r="B466" t="str">
            <v>VAR_fout</v>
          </cell>
          <cell r="C466" t="str">
            <v>TPSHP</v>
          </cell>
          <cell r="E466">
            <v>8.1689892558432905E-6</v>
          </cell>
          <cell r="F466">
            <v>9.7001185037068206E-6</v>
          </cell>
          <cell r="G466">
            <v>1.3103286947025001E-5</v>
          </cell>
          <cell r="H466">
            <v>1.07577672442269E-4</v>
          </cell>
          <cell r="I466">
            <v>3.7237253197383798E-5</v>
          </cell>
        </row>
        <row r="467">
          <cell r="A467" t="str">
            <v>TPSHPELCEXT</v>
          </cell>
          <cell r="B467" t="str">
            <v>VAR_fin</v>
          </cell>
          <cell r="C467" t="str">
            <v>TELC</v>
          </cell>
          <cell r="E467">
            <v>3.3107797865091611E-6</v>
          </cell>
          <cell r="F467">
            <v>3.9313255609736961E-6</v>
          </cell>
          <cell r="G467">
            <v>5.310583256062959E-6</v>
          </cell>
          <cell r="H467">
            <v>4.3599761518452681E-5</v>
          </cell>
          <cell r="I467">
            <v>1.50917501945343E-5</v>
          </cell>
        </row>
        <row r="468">
          <cell r="A468" t="str">
            <v>TPSHPELCEXT</v>
          </cell>
          <cell r="B468" t="str">
            <v>VAR_ncap</v>
          </cell>
          <cell r="C468" t="str">
            <v>-</v>
          </cell>
          <cell r="D468">
            <v>1.2248996059914401E-6</v>
          </cell>
          <cell r="E468">
            <v>4.3892669632077503E-6</v>
          </cell>
          <cell r="F468">
            <v>6.7463956056683E-7</v>
          </cell>
          <cell r="G468">
            <v>4.2281859105078603E-7</v>
          </cell>
          <cell r="H468">
            <v>7.0086887310165601E-7</v>
          </cell>
          <cell r="I468">
            <v>5.9214753083121901E-7</v>
          </cell>
        </row>
        <row r="469">
          <cell r="A469" t="str">
            <v>TPSHPELCEXT</v>
          </cell>
          <cell r="B469" t="str">
            <v>VAR_cap</v>
          </cell>
          <cell r="C469" t="str">
            <v>-</v>
          </cell>
          <cell r="D469">
            <v>1.2248996059914401E-6</v>
          </cell>
          <cell r="E469">
            <v>5.6141665691991998E-6</v>
          </cell>
          <cell r="F469">
            <v>5.6515620752347187E-6</v>
          </cell>
          <cell r="G469">
            <v>4.5870694747962403E-6</v>
          </cell>
          <cell r="H469">
            <v>-3.0348270143542894E-6</v>
          </cell>
          <cell r="I469">
            <v>-4.8742062419629824E-8</v>
          </cell>
        </row>
        <row r="470">
          <cell r="A470" t="str">
            <v>TFLGV-ICEGSL</v>
          </cell>
          <cell r="B470" t="str">
            <v>VAR_fout</v>
          </cell>
          <cell r="C470" t="str">
            <v>CO2_T</v>
          </cell>
          <cell r="D470">
            <v>27.006689620872322</v>
          </cell>
          <cell r="E470">
            <v>42.703109010882777</v>
          </cell>
          <cell r="F470">
            <v>56.777443485813237</v>
          </cell>
          <cell r="G470">
            <v>100.5925739435138</v>
          </cell>
          <cell r="H470">
            <v>7.9563588557748106E-3</v>
          </cell>
        </row>
        <row r="471">
          <cell r="A471" t="str">
            <v>TFLGV-ICEGSL</v>
          </cell>
          <cell r="B471" t="str">
            <v>VAR_fout</v>
          </cell>
          <cell r="C471" t="str">
            <v>TFLGV</v>
          </cell>
          <cell r="D471">
            <v>0.12853047589650979</v>
          </cell>
          <cell r="E471">
            <v>0.20323301376364741</v>
          </cell>
          <cell r="F471">
            <v>0.27021571076888778</v>
          </cell>
          <cell r="G471">
            <v>0.4787410668289474</v>
          </cell>
          <cell r="H471">
            <v>3.7865973375196523E-5</v>
          </cell>
        </row>
        <row r="472">
          <cell r="A472" t="str">
            <v>TFLGV-ICEGSL</v>
          </cell>
          <cell r="B472" t="str">
            <v>VAR_fin</v>
          </cell>
          <cell r="C472" t="str">
            <v>TGSL</v>
          </cell>
          <cell r="D472">
            <v>0.36594430380585796</v>
          </cell>
          <cell r="E472">
            <v>0.57863291342659651</v>
          </cell>
          <cell r="F472">
            <v>0.76934205265329669</v>
          </cell>
          <cell r="G472">
            <v>1.3630430073646873</v>
          </cell>
          <cell r="H472">
            <v>1.0780974059315468E-4</v>
          </cell>
        </row>
        <row r="473">
          <cell r="A473" t="str">
            <v>TFLGV-ICEGSL</v>
          </cell>
          <cell r="B473" t="str">
            <v>VAR_ncap</v>
          </cell>
          <cell r="C473" t="str">
            <v>-</v>
          </cell>
          <cell r="E473">
            <v>6.3751038858738106E-5</v>
          </cell>
          <cell r="F473">
            <v>1.2382691410790601E-2</v>
          </cell>
          <cell r="G473">
            <v>2.7493226586279701E-2</v>
          </cell>
        </row>
        <row r="474">
          <cell r="A474" t="str">
            <v>TFLGV-ICEGSL</v>
          </cell>
          <cell r="B474" t="str">
            <v>VAR_cap</v>
          </cell>
          <cell r="C474" t="str">
            <v>-</v>
          </cell>
          <cell r="D474">
            <v>1.2434843387669883E-2</v>
          </cell>
          <cell r="E474">
            <v>1.4185751038858737E-2</v>
          </cell>
          <cell r="F474">
            <v>2.6568442449649302E-2</v>
          </cell>
          <cell r="G474">
            <v>4.7630909558352787E-2</v>
          </cell>
          <cell r="H474">
            <v>2.8952355347602529E-6</v>
          </cell>
        </row>
        <row r="475">
          <cell r="A475" t="str">
            <v>T_C-ICE-GSL-S2</v>
          </cell>
          <cell r="B475" t="str">
            <v>VAR_fout</v>
          </cell>
          <cell r="C475" t="str">
            <v>CO2_T</v>
          </cell>
          <cell r="D475">
            <v>277.7890933252595</v>
          </cell>
          <cell r="E475">
            <v>391.65655622364409</v>
          </cell>
          <cell r="F475">
            <v>349.33580673739669</v>
          </cell>
          <cell r="G475">
            <v>303.96028123123676</v>
          </cell>
          <cell r="H475">
            <v>0.11696870934722289</v>
          </cell>
        </row>
        <row r="476">
          <cell r="A476" t="str">
            <v>T_C-ICE-GSL-S2</v>
          </cell>
          <cell r="B476" t="str">
            <v>VAR_fout</v>
          </cell>
          <cell r="C476" t="str">
            <v>TPCAR</v>
          </cell>
          <cell r="D476">
            <v>2.2822248412001866</v>
          </cell>
          <cell r="E476">
            <v>3.2078609284180755</v>
          </cell>
          <cell r="F476">
            <v>2.8903164503413188</v>
          </cell>
          <cell r="G476">
            <v>2.5090843779430125</v>
          </cell>
          <cell r="H476">
            <v>8.4683308835066409E-4</v>
          </cell>
        </row>
        <row r="477">
          <cell r="A477" t="str">
            <v>T_C-ICE-GSL-S2</v>
          </cell>
          <cell r="B477" t="str">
            <v>VAR_fin</v>
          </cell>
          <cell r="C477" t="str">
            <v>TGSL</v>
          </cell>
          <cell r="D477">
            <v>3.7640798553558183</v>
          </cell>
          <cell r="E477">
            <v>5.3069994068244455</v>
          </cell>
          <cell r="F477">
            <v>4.733547516766901</v>
          </cell>
          <cell r="G477">
            <v>4.1187029977132363</v>
          </cell>
          <cell r="H477">
            <v>1.584941861073481E-3</v>
          </cell>
        </row>
        <row r="478">
          <cell r="A478" t="str">
            <v>T_C-ICE-GSL-S2</v>
          </cell>
          <cell r="B478" t="str">
            <v>VAR_ncap</v>
          </cell>
          <cell r="C478" t="str">
            <v>-</v>
          </cell>
          <cell r="E478">
            <v>1.8223117542540102E-5</v>
          </cell>
          <cell r="F478">
            <v>8.24000506074616E-4</v>
          </cell>
          <cell r="G478">
            <v>3.9133352694928303E-5</v>
          </cell>
        </row>
        <row r="479">
          <cell r="A479" t="str">
            <v>T_C-ICE-GSL-S2</v>
          </cell>
          <cell r="B479" t="str">
            <v>VAR_cap</v>
          </cell>
          <cell r="C479" t="str">
            <v>-</v>
          </cell>
          <cell r="D479">
            <v>0.21743034560826821</v>
          </cell>
          <cell r="E479">
            <v>0.24339005858774082</v>
          </cell>
          <cell r="F479">
            <v>0.24085845667518427</v>
          </cell>
          <cell r="G479">
            <v>0.19037969286655609</v>
          </cell>
          <cell r="H479">
            <v>8.3773520286162459E-5</v>
          </cell>
        </row>
        <row r="480">
          <cell r="A480" t="str">
            <v>T_C-ICE-DSL-S1</v>
          </cell>
          <cell r="B480" t="str">
            <v>VAR_fout</v>
          </cell>
          <cell r="C480" t="str">
            <v>CO2_T</v>
          </cell>
          <cell r="D480">
            <v>0.38263319333967599</v>
          </cell>
          <cell r="E480">
            <v>0.4393597062173426</v>
          </cell>
          <cell r="F480">
            <v>0.33194326255045126</v>
          </cell>
          <cell r="G480">
            <v>0.24471356084070439</v>
          </cell>
          <cell r="H480">
            <v>7.8577637676835212E-3</v>
          </cell>
        </row>
        <row r="481">
          <cell r="A481" t="str">
            <v>T_C-ICE-DSL-S1</v>
          </cell>
          <cell r="B481" t="str">
            <v>VAR_fout</v>
          </cell>
          <cell r="C481" t="str">
            <v>TPCAR</v>
          </cell>
          <cell r="D481">
            <v>3.9156905982631407E-3</v>
          </cell>
          <cell r="E481">
            <v>4.6135273511311173E-3</v>
          </cell>
          <cell r="F481">
            <v>3.499257621049624E-3</v>
          </cell>
          <cell r="G481">
            <v>2.6327932626722403E-3</v>
          </cell>
          <cell r="H481">
            <v>7.0695446484811511E-5</v>
          </cell>
        </row>
        <row r="482">
          <cell r="A482" t="str">
            <v>T_C-ICE-DSL-S1</v>
          </cell>
          <cell r="B482" t="str">
            <v>VAR_fin</v>
          </cell>
          <cell r="C482" t="str">
            <v>TDSL</v>
          </cell>
          <cell r="D482">
            <v>5.2200981356026761E-3</v>
          </cell>
          <cell r="E482">
            <v>5.9939932635381015E-3</v>
          </cell>
          <cell r="F482">
            <v>4.52855746999253E-3</v>
          </cell>
          <cell r="G482">
            <v>3.3385206117422174E-3</v>
          </cell>
          <cell r="H482">
            <v>1.0720005140086664E-4</v>
          </cell>
        </row>
        <row r="483">
          <cell r="A483" t="str">
            <v>T_C-ICE-DSL-S1</v>
          </cell>
          <cell r="B483" t="str">
            <v>VAR_ncap</v>
          </cell>
          <cell r="C483" t="str">
            <v>-</v>
          </cell>
          <cell r="E483">
            <v>2.4032767087864999E-5</v>
          </cell>
          <cell r="F483">
            <v>3.36869214627934E-5</v>
          </cell>
          <cell r="G483">
            <v>1.8554684197811301E-5</v>
          </cell>
        </row>
        <row r="484">
          <cell r="A484" t="str">
            <v>T_C-ICE-DSL-S1</v>
          </cell>
          <cell r="B484" t="str">
            <v>VAR_cap</v>
          </cell>
          <cell r="C484" t="str">
            <v>-</v>
          </cell>
          <cell r="D484">
            <v>4.44589231990057E-4</v>
          </cell>
          <cell r="E484">
            <v>4.9666475343512566E-4</v>
          </cell>
          <cell r="F484">
            <v>5.2535184714697721E-4</v>
          </cell>
          <cell r="G484">
            <v>3.960995161581438E-4</v>
          </cell>
          <cell r="H484">
            <v>9.9131346906323383E-6</v>
          </cell>
        </row>
        <row r="485">
          <cell r="A485" t="str">
            <v>T_C-ICE-GSL-S3</v>
          </cell>
          <cell r="B485" t="str">
            <v>VAR_fout</v>
          </cell>
          <cell r="C485" t="str">
            <v>CO2_T</v>
          </cell>
          <cell r="D485">
            <v>278.47167237181048</v>
          </cell>
          <cell r="E485">
            <v>423.67873794853216</v>
          </cell>
          <cell r="F485">
            <v>487.24029136193764</v>
          </cell>
          <cell r="G485">
            <v>397.59795013215665</v>
          </cell>
          <cell r="H485">
            <v>5.9134909431692408</v>
          </cell>
        </row>
        <row r="486">
          <cell r="A486" t="str">
            <v>T_C-ICE-GSL-S3</v>
          </cell>
          <cell r="B486" t="str">
            <v>VAR_fout</v>
          </cell>
          <cell r="C486" t="str">
            <v>TPCAR</v>
          </cell>
          <cell r="D486">
            <v>1.949704114569172</v>
          </cell>
          <cell r="E486">
            <v>2.9624620699527608</v>
          </cell>
          <cell r="F486">
            <v>3.3748755342506027</v>
          </cell>
          <cell r="G486">
            <v>2.7714395549702604</v>
          </cell>
          <cell r="H486">
            <v>3.8632742102013451E-2</v>
          </cell>
        </row>
        <row r="487">
          <cell r="A487" t="str">
            <v>T_C-ICE-GSL-S3</v>
          </cell>
          <cell r="B487" t="str">
            <v>VAR_fin</v>
          </cell>
          <cell r="C487" t="str">
            <v>TGSL</v>
          </cell>
          <cell r="D487">
            <v>3.7733288939269771</v>
          </cell>
          <cell r="E487">
            <v>5.7409043082456934</v>
          </cell>
          <cell r="F487">
            <v>6.6021719696739654</v>
          </cell>
          <cell r="G487">
            <v>5.3875060993516932</v>
          </cell>
          <cell r="H487">
            <v>8.0128603565978965E-2</v>
          </cell>
        </row>
        <row r="488">
          <cell r="A488" t="str">
            <v>T_C-ICE-GSL-S3</v>
          </cell>
          <cell r="B488" t="str">
            <v>VAR_ncap</v>
          </cell>
          <cell r="C488" t="str">
            <v>-</v>
          </cell>
          <cell r="E488">
            <v>3.9477778324656097E-5</v>
          </cell>
          <cell r="F488">
            <v>3.19288213988662E-2</v>
          </cell>
          <cell r="G488">
            <v>2.49820734034178E-5</v>
          </cell>
        </row>
        <row r="489">
          <cell r="A489" t="str">
            <v>T_C-ICE-GSL-S3</v>
          </cell>
          <cell r="B489" t="str">
            <v>VAR_cap</v>
          </cell>
          <cell r="C489" t="str">
            <v>-</v>
          </cell>
          <cell r="D489">
            <v>0.18201202252460949</v>
          </cell>
          <cell r="E489">
            <v>0.20369286714729654</v>
          </cell>
          <cell r="F489">
            <v>0.23206018748802348</v>
          </cell>
          <cell r="G489">
            <v>0.1905665114942455</v>
          </cell>
          <cell r="H489">
            <v>2.6749246136184169E-3</v>
          </cell>
        </row>
        <row r="490">
          <cell r="A490" t="str">
            <v>T_C-ICE-DSL-S2</v>
          </cell>
          <cell r="B490" t="str">
            <v>VAR_fout</v>
          </cell>
          <cell r="C490" t="str">
            <v>CO2_T</v>
          </cell>
          <cell r="D490">
            <v>89.542987384632042</v>
          </cell>
          <cell r="E490">
            <v>94.05708484187879</v>
          </cell>
          <cell r="F490">
            <v>72.384593089452551</v>
          </cell>
          <cell r="G490">
            <v>60.757728783693061</v>
          </cell>
          <cell r="H490">
            <v>9.5084471804262796E-3</v>
          </cell>
        </row>
        <row r="491">
          <cell r="A491" t="str">
            <v>T_C-ICE-DSL-S2</v>
          </cell>
          <cell r="B491" t="str">
            <v>VAR_fout</v>
          </cell>
          <cell r="C491" t="str">
            <v>TPCAR</v>
          </cell>
          <cell r="D491">
            <v>0.850729567036692</v>
          </cell>
          <cell r="E491">
            <v>0.90303033087436613</v>
          </cell>
          <cell r="F491">
            <v>0.71158945562150955</v>
          </cell>
          <cell r="G491">
            <v>0.63237317616094757</v>
          </cell>
          <cell r="H491">
            <v>6.931055099900727E-5</v>
          </cell>
        </row>
        <row r="492">
          <cell r="A492" t="str">
            <v>T_C-ICE-DSL-S2</v>
          </cell>
          <cell r="B492" t="str">
            <v>VAR_fin</v>
          </cell>
          <cell r="C492" t="str">
            <v>TDSL</v>
          </cell>
          <cell r="D492">
            <v>1.2215960079758807</v>
          </cell>
          <cell r="E492">
            <v>1.2831798750597405</v>
          </cell>
          <cell r="F492">
            <v>0.98751150190249126</v>
          </cell>
          <cell r="G492">
            <v>0.8288912521649805</v>
          </cell>
          <cell r="H492">
            <v>1.2971960682709797E-4</v>
          </cell>
        </row>
        <row r="493">
          <cell r="A493" t="str">
            <v>T_C-ICE-DSL-S2</v>
          </cell>
          <cell r="B493" t="str">
            <v>VAR_ncap</v>
          </cell>
          <cell r="C493" t="str">
            <v>-</v>
          </cell>
          <cell r="E493">
            <v>1.0909174220292E-5</v>
          </cell>
          <cell r="F493">
            <v>2.0790545951243699E-5</v>
          </cell>
          <cell r="G493">
            <v>1.1320125052156699E-5</v>
          </cell>
        </row>
        <row r="494">
          <cell r="A494" t="str">
            <v>T_C-ICE-DSL-S2</v>
          </cell>
          <cell r="B494" t="str">
            <v>VAR_cap</v>
          </cell>
          <cell r="C494" t="str">
            <v>-</v>
          </cell>
          <cell r="D494">
            <v>6.4569057522708695E-2</v>
          </cell>
          <cell r="E494">
            <v>6.8515495169004056E-2</v>
          </cell>
          <cell r="F494">
            <v>6.7915088293169543E-2</v>
          </cell>
          <cell r="G494">
            <v>5.1498335964040902E-2</v>
          </cell>
          <cell r="H494">
            <v>6.0704417775776627E-6</v>
          </cell>
        </row>
        <row r="495">
          <cell r="A495" t="str">
            <v>TPRLPH2OFCL</v>
          </cell>
          <cell r="B495" t="str">
            <v>VAR_fout</v>
          </cell>
          <cell r="C495" t="str">
            <v>TPRLP</v>
          </cell>
          <cell r="H495">
            <v>1.4400677078571296E-6</v>
          </cell>
          <cell r="I495">
            <v>1.6952160216535984E-6</v>
          </cell>
        </row>
        <row r="496">
          <cell r="A496" t="str">
            <v>TPRLPH2OFCL</v>
          </cell>
          <cell r="B496" t="str">
            <v>VAR_fin</v>
          </cell>
          <cell r="C496" t="str">
            <v>TH2O</v>
          </cell>
          <cell r="H496">
            <v>8.0262904581044955E-5</v>
          </cell>
          <cell r="I496">
            <v>8.7743749073407933E-5</v>
          </cell>
        </row>
        <row r="497">
          <cell r="A497" t="str">
            <v>TPRLPH2OFCL</v>
          </cell>
          <cell r="B497" t="str">
            <v>VAR_ncap</v>
          </cell>
          <cell r="C497" t="str">
            <v>-</v>
          </cell>
          <cell r="H497">
            <v>4.1119631920748198E-8</v>
          </cell>
        </row>
        <row r="498">
          <cell r="A498" t="str">
            <v>TPRLPH2OFCL</v>
          </cell>
          <cell r="B498" t="str">
            <v>VAR_cap</v>
          </cell>
          <cell r="C498" t="str">
            <v>-</v>
          </cell>
          <cell r="H498">
            <v>4.1119631920748198E-8</v>
          </cell>
          <cell r="I498">
            <v>4.1119631920748198E-8</v>
          </cell>
        </row>
        <row r="499">
          <cell r="A499" t="str">
            <v>T_C-ICE-GSL-S4</v>
          </cell>
          <cell r="B499" t="str">
            <v>VAR_fout</v>
          </cell>
          <cell r="C499" t="str">
            <v>CO2_T</v>
          </cell>
          <cell r="D499">
            <v>287.38831718275378</v>
          </cell>
          <cell r="E499">
            <v>387.804830320767</v>
          </cell>
          <cell r="F499">
            <v>814.64176970326025</v>
          </cell>
          <cell r="G499">
            <v>683.3703994465485</v>
          </cell>
          <cell r="H499">
            <v>34.591987005335255</v>
          </cell>
        </row>
        <row r="500">
          <cell r="A500" t="str">
            <v>T_C-ICE-GSL-S4</v>
          </cell>
          <cell r="B500" t="str">
            <v>VAR_fout</v>
          </cell>
          <cell r="C500" t="str">
            <v>TPCAR</v>
          </cell>
          <cell r="D500">
            <v>1.7144684249613626</v>
          </cell>
          <cell r="E500">
            <v>2.276891680885305</v>
          </cell>
          <cell r="F500">
            <v>4.7903018120146479</v>
          </cell>
          <cell r="G500">
            <v>4.0442244974508004</v>
          </cell>
          <cell r="H500">
            <v>0.20363961236347611</v>
          </cell>
        </row>
        <row r="501">
          <cell r="A501" t="str">
            <v>T_C-ICE-GSL-S4</v>
          </cell>
          <cell r="B501" t="str">
            <v>VAR_fin</v>
          </cell>
          <cell r="C501" t="str">
            <v>TGSL</v>
          </cell>
          <cell r="D501">
            <v>3.8941506393327083</v>
          </cell>
          <cell r="E501">
            <v>5.2548079989263732</v>
          </cell>
          <cell r="F501">
            <v>11.038506364542801</v>
          </cell>
          <cell r="G501">
            <v>9.2597615101158439</v>
          </cell>
          <cell r="H501">
            <v>0.46872611118340612</v>
          </cell>
        </row>
        <row r="502">
          <cell r="A502" t="str">
            <v>T_C-ICE-GSL-S4</v>
          </cell>
          <cell r="B502" t="str">
            <v>VAR_ncap</v>
          </cell>
          <cell r="C502" t="str">
            <v>-</v>
          </cell>
          <cell r="E502">
            <v>2.5005531944059499E-5</v>
          </cell>
          <cell r="F502">
            <v>0.20363236636804999</v>
          </cell>
          <cell r="G502">
            <v>9.2444716017707105E-5</v>
          </cell>
        </row>
        <row r="503">
          <cell r="A503" t="str">
            <v>T_C-ICE-GSL-S4</v>
          </cell>
          <cell r="B503" t="str">
            <v>VAR_cap</v>
          </cell>
          <cell r="C503" t="str">
            <v>-</v>
          </cell>
          <cell r="D503">
            <v>0.15707527819818801</v>
          </cell>
          <cell r="E503">
            <v>0.17928869998831182</v>
          </cell>
          <cell r="F503">
            <v>0.377307652545321</v>
          </cell>
          <cell r="G503">
            <v>0.318475591369906</v>
          </cell>
          <cell r="H503">
            <v>1.7034252197524885E-2</v>
          </cell>
        </row>
        <row r="504">
          <cell r="A504" t="str">
            <v>T_C-ICE-DSL-S3</v>
          </cell>
          <cell r="B504" t="str">
            <v>VAR_fout</v>
          </cell>
          <cell r="C504" t="str">
            <v>CO2_T</v>
          </cell>
          <cell r="D504">
            <v>369.5161362587603</v>
          </cell>
          <cell r="E504">
            <v>390.4604480550604</v>
          </cell>
          <cell r="F504">
            <v>386.7308576802327</v>
          </cell>
          <cell r="G504">
            <v>295.33930440437967</v>
          </cell>
          <cell r="H504">
            <v>8.5710404481085193E-3</v>
          </cell>
        </row>
        <row r="505">
          <cell r="A505" t="str">
            <v>T_C-ICE-DSL-S3</v>
          </cell>
          <cell r="B505" t="str">
            <v>VAR_fout</v>
          </cell>
          <cell r="C505" t="str">
            <v>TPCAR</v>
          </cell>
          <cell r="D505">
            <v>2.661123437867873</v>
          </cell>
          <cell r="E505">
            <v>2.8361360438206198</v>
          </cell>
          <cell r="F505">
            <v>2.8065910516496206</v>
          </cell>
          <cell r="G505">
            <v>2.1806657158146301</v>
          </cell>
          <cell r="H505">
            <v>5.5679399105728582E-5</v>
          </cell>
        </row>
        <row r="506">
          <cell r="A506" t="str">
            <v>T_C-ICE-DSL-S3</v>
          </cell>
          <cell r="B506" t="str">
            <v>VAR_fin</v>
          </cell>
          <cell r="C506" t="str">
            <v>TDSL</v>
          </cell>
          <cell r="D506">
            <v>5.041147834362353</v>
          </cell>
          <cell r="E506">
            <v>5.3268819652804922</v>
          </cell>
          <cell r="F506">
            <v>5.276000786906291</v>
          </cell>
          <cell r="G506">
            <v>4.0291855989683416</v>
          </cell>
          <cell r="H506">
            <v>1.1693097473545033E-4</v>
          </cell>
        </row>
        <row r="507">
          <cell r="A507" t="str">
            <v>T_C-ICE-DSL-S3</v>
          </cell>
          <cell r="B507" t="str">
            <v>VAR_ncap</v>
          </cell>
          <cell r="C507" t="str">
            <v>-</v>
          </cell>
          <cell r="E507">
            <v>1.0676897043726E-5</v>
          </cell>
          <cell r="F507">
            <v>1.42620949810272E-5</v>
          </cell>
          <cell r="G507">
            <v>7.9418607524203597E-6</v>
          </cell>
        </row>
        <row r="508">
          <cell r="A508" t="str">
            <v>T_C-ICE-DSL-S3</v>
          </cell>
          <cell r="B508" t="str">
            <v>VAR_cap</v>
          </cell>
          <cell r="C508" t="str">
            <v>-</v>
          </cell>
          <cell r="D508">
            <v>0.18324097487890303</v>
          </cell>
          <cell r="E508">
            <v>0.19500704424987636</v>
          </cell>
          <cell r="F508">
            <v>0.19298667740717732</v>
          </cell>
          <cell r="G508">
            <v>0.1499476023900857</v>
          </cell>
          <cell r="H508">
            <v>4.2316744132188741E-6</v>
          </cell>
        </row>
        <row r="509">
          <cell r="A509" t="str">
            <v>T_C-ICE-DSL-S4</v>
          </cell>
          <cell r="B509" t="str">
            <v>VAR_fout</v>
          </cell>
          <cell r="C509" t="str">
            <v>CO2_T</v>
          </cell>
          <cell r="D509">
            <v>142.01314515161411</v>
          </cell>
          <cell r="E509">
            <v>162.0502589559255</v>
          </cell>
          <cell r="F509">
            <v>141.09578923936891</v>
          </cell>
          <cell r="G509">
            <v>122.61926514751903</v>
          </cell>
          <cell r="H509">
            <v>5.6266469821724396E-3</v>
          </cell>
        </row>
        <row r="510">
          <cell r="A510" t="str">
            <v>T_C-ICE-DSL-S4</v>
          </cell>
          <cell r="B510" t="str">
            <v>VAR_fout</v>
          </cell>
          <cell r="C510" t="str">
            <v>TPCAR</v>
          </cell>
          <cell r="D510">
            <v>0.90294340018518437</v>
          </cell>
          <cell r="E510">
            <v>1.0075623195228274</v>
          </cell>
          <cell r="F510">
            <v>0.89757758090203821</v>
          </cell>
          <cell r="G510">
            <v>0.77489892953448569</v>
          </cell>
          <cell r="H510">
            <v>3.2602774947594428E-5</v>
          </cell>
        </row>
        <row r="511">
          <cell r="A511" t="str">
            <v>T_C-ICE-DSL-S4</v>
          </cell>
          <cell r="B511" t="str">
            <v>VAR_fin</v>
          </cell>
          <cell r="C511" t="str">
            <v>TDSL</v>
          </cell>
          <cell r="D511">
            <v>1.9374235354926865</v>
          </cell>
          <cell r="E511">
            <v>2.2107811590167192</v>
          </cell>
          <cell r="F511">
            <v>1.9249084480132206</v>
          </cell>
          <cell r="G511">
            <v>1.6728412707710651</v>
          </cell>
          <cell r="H511">
            <v>7.6761896073293819E-5</v>
          </cell>
        </row>
        <row r="512">
          <cell r="A512" t="str">
            <v>T_C-ICE-DSL-S4</v>
          </cell>
          <cell r="B512" t="str">
            <v>VAR_ncap</v>
          </cell>
          <cell r="C512" t="str">
            <v>-</v>
          </cell>
          <cell r="E512">
            <v>4.0615781290772502E-6</v>
          </cell>
          <cell r="F512">
            <v>7.3209127339159001E-6</v>
          </cell>
          <cell r="G512">
            <v>6.0365827913097098E-6</v>
          </cell>
        </row>
        <row r="513">
          <cell r="A513" t="str">
            <v>T_C-ICE-DSL-S4</v>
          </cell>
          <cell r="B513" t="str">
            <v>VAR_cap</v>
          </cell>
          <cell r="C513" t="str">
            <v>-</v>
          </cell>
          <cell r="D513">
            <v>7.1261886179240938E-2</v>
          </cell>
          <cell r="E513">
            <v>7.9341520813884528E-2</v>
          </cell>
          <cell r="F513">
            <v>7.8212679989380876E-2</v>
          </cell>
          <cell r="G513">
            <v>6.1065112311759297E-2</v>
          </cell>
          <cell r="H513">
            <v>2.9226587458482465E-6</v>
          </cell>
        </row>
        <row r="514">
          <cell r="A514" t="str">
            <v>TFLGV-ICENGAExt</v>
          </cell>
          <cell r="B514" t="str">
            <v>VAR_fout</v>
          </cell>
          <cell r="C514" t="str">
            <v>CO2_T</v>
          </cell>
          <cell r="D514">
            <v>6.0591963588372399</v>
          </cell>
          <cell r="E514">
            <v>1.82807903165799</v>
          </cell>
          <cell r="F514">
            <v>3.9527804620376101</v>
          </cell>
          <cell r="G514">
            <v>2.5486462560796799E-3</v>
          </cell>
        </row>
        <row r="515">
          <cell r="A515" t="str">
            <v>TFLGV-ICENGAExt</v>
          </cell>
          <cell r="B515" t="str">
            <v>VAR_fout</v>
          </cell>
          <cell r="C515" t="str">
            <v>TFLGV</v>
          </cell>
          <cell r="D515">
            <v>2.9821479696069936E-2</v>
          </cell>
          <cell r="E515">
            <v>9.0810908650605666E-3</v>
          </cell>
          <cell r="F515">
            <v>1.9907643845986839E-2</v>
          </cell>
          <cell r="G515">
            <v>1.2835911946723069E-5</v>
          </cell>
        </row>
        <row r="516">
          <cell r="A516" t="str">
            <v>TFLGV-ICENGAExt</v>
          </cell>
          <cell r="B516" t="str">
            <v>VAR_fin</v>
          </cell>
          <cell r="C516" t="str">
            <v>TNGA</v>
          </cell>
          <cell r="D516">
            <v>0.10743255955385167</v>
          </cell>
          <cell r="E516">
            <v>3.2412748788262336E-2</v>
          </cell>
          <cell r="F516">
            <v>7.0084759965205912E-2</v>
          </cell>
          <cell r="G516">
            <v>4.518876340566813E-5</v>
          </cell>
        </row>
        <row r="517">
          <cell r="A517" t="str">
            <v>TFLGV-ICENGAExt</v>
          </cell>
          <cell r="B517" t="str">
            <v>VAR_cap</v>
          </cell>
          <cell r="C517" t="str">
            <v>-</v>
          </cell>
          <cell r="D517">
            <v>2.085E-3</v>
          </cell>
          <cell r="E517">
            <v>1.807E-3</v>
          </cell>
          <cell r="F517">
            <v>1.39E-3</v>
          </cell>
          <cell r="G517">
            <v>9.1154748923301821E-7</v>
          </cell>
        </row>
        <row r="518">
          <cell r="A518" t="str">
            <v>D-TGSL</v>
          </cell>
          <cell r="B518" t="str">
            <v>VAR_fout</v>
          </cell>
          <cell r="C518" t="str">
            <v>CO2</v>
          </cell>
          <cell r="D518">
            <v>5894.6616604480396</v>
          </cell>
          <cell r="E518">
            <v>5597.8085672428097</v>
          </cell>
          <cell r="F518">
            <v>5300.4270544092496</v>
          </cell>
          <cell r="G518">
            <v>3191.7908723443702</v>
          </cell>
          <cell r="H518">
            <v>418.32095246849701</v>
          </cell>
          <cell r="I518">
            <v>11.946878798407599</v>
          </cell>
        </row>
        <row r="519">
          <cell r="A519" t="str">
            <v>D-TGSL</v>
          </cell>
          <cell r="B519" t="str">
            <v>VAR_fout</v>
          </cell>
          <cell r="C519" t="str">
            <v>TGSL</v>
          </cell>
          <cell r="D519">
            <v>83.25719145746325</v>
          </cell>
          <cell r="E519">
            <v>79.064534674461768</v>
          </cell>
          <cell r="F519">
            <v>74.864108290059519</v>
          </cell>
          <cell r="G519">
            <v>45.082783718566127</v>
          </cell>
          <cell r="H519">
            <v>8.9272888651207101</v>
          </cell>
          <cell r="I519">
            <v>1.0631788911561093</v>
          </cell>
        </row>
        <row r="520">
          <cell r="A520" t="str">
            <v>D-TGSL</v>
          </cell>
          <cell r="B520" t="str">
            <v>VAR_fin</v>
          </cell>
          <cell r="C520" t="str">
            <v>GSL</v>
          </cell>
          <cell r="D520">
            <v>79.873464233713207</v>
          </cell>
          <cell r="E520">
            <v>75.851064596785974</v>
          </cell>
          <cell r="F520">
            <v>71.821504802293347</v>
          </cell>
          <cell r="G520">
            <v>43.249198812254313</v>
          </cell>
          <cell r="H520">
            <v>5.6683055890040288</v>
          </cell>
          <cell r="I520">
            <v>0.16188182653668864</v>
          </cell>
        </row>
        <row r="521">
          <cell r="A521" t="str">
            <v>D-TGSL</v>
          </cell>
          <cell r="B521" t="str">
            <v>VAR_fin</v>
          </cell>
          <cell r="C521" t="str">
            <v>ETH</v>
          </cell>
          <cell r="D521">
            <v>4.6255335063774963</v>
          </cell>
          <cell r="E521">
            <v>4.3927414553361244</v>
          </cell>
          <cell r="F521">
            <v>4.1592242392071785</v>
          </cell>
          <cell r="G521">
            <v>2.5060096126937697</v>
          </cell>
          <cell r="H521">
            <v>3.3921364816858928</v>
          </cell>
          <cell r="I521">
            <v>0.91715886755545806</v>
          </cell>
        </row>
        <row r="522">
          <cell r="A522" t="str">
            <v>T_TW-BEVELC-S1</v>
          </cell>
          <cell r="B522" t="str">
            <v>VAR_fout</v>
          </cell>
          <cell r="C522" t="str">
            <v>TPTWL</v>
          </cell>
          <cell r="D522">
            <v>1.7287325017787462E-2</v>
          </cell>
          <cell r="E522">
            <v>2.3445647182618667E-2</v>
          </cell>
          <cell r="F522">
            <v>2.37400043850611E-2</v>
          </cell>
          <cell r="G522">
            <v>1.6190150607424972E-2</v>
          </cell>
          <cell r="H522">
            <v>4.1173730581355343E-3</v>
          </cell>
          <cell r="I522">
            <v>1.4420078451090612</v>
          </cell>
        </row>
        <row r="523">
          <cell r="A523" t="str">
            <v>T_TW-BEVELC-S1</v>
          </cell>
          <cell r="B523" t="str">
            <v>VAR_fin</v>
          </cell>
          <cell r="C523" t="str">
            <v>T-ELC-TWSTGout_S1</v>
          </cell>
          <cell r="D523">
            <v>1.5575672313570437E-3</v>
          </cell>
          <cell r="E523">
            <v>2.1109369557114799E-3</v>
          </cell>
          <cell r="F523">
            <v>2.1370806958419019E-3</v>
          </cell>
          <cell r="G523">
            <v>1.4560791357580488E-3</v>
          </cell>
          <cell r="H523">
            <v>3.5559691804560749E-4</v>
          </cell>
          <cell r="I523">
            <v>0.12103882252875489</v>
          </cell>
        </row>
        <row r="524">
          <cell r="A524" t="str">
            <v>T_TW-BEVELC-S1</v>
          </cell>
          <cell r="B524" t="str">
            <v>VAR_ncap</v>
          </cell>
          <cell r="C524" t="str">
            <v>-</v>
          </cell>
          <cell r="D524">
            <v>3.8257617615019399E-5</v>
          </cell>
          <cell r="E524">
            <v>1.3517929227588999E-4</v>
          </cell>
          <cell r="F524">
            <v>1.21761489436551E-4</v>
          </cell>
          <cell r="G524">
            <v>1.5934421589869601E-4</v>
          </cell>
          <cell r="H524">
            <v>7.2103942669244899E-4</v>
          </cell>
          <cell r="I524">
            <v>0.57354012087117201</v>
          </cell>
        </row>
        <row r="525">
          <cell r="A525" t="str">
            <v>T_TW-BEVELC-S1</v>
          </cell>
          <cell r="B525" t="str">
            <v>VAR_cap</v>
          </cell>
          <cell r="C525" t="str">
            <v>-</v>
          </cell>
          <cell r="D525">
            <v>5.9790377980069292E-3</v>
          </cell>
          <cell r="E525">
            <v>8.0682092663378994E-3</v>
          </cell>
          <cell r="F525">
            <v>8.1898695458836601E-3</v>
          </cell>
          <cell r="G525">
            <v>5.6221167515067604E-3</v>
          </cell>
          <cell r="H525">
            <v>1.4594594412846726E-3</v>
          </cell>
          <cell r="I525">
            <v>0.57402631810338356</v>
          </cell>
        </row>
        <row r="526">
          <cell r="A526" t="str">
            <v>T_TW-BEVELC-S2</v>
          </cell>
          <cell r="B526" t="str">
            <v>VAR_fout</v>
          </cell>
          <cell r="C526" t="str">
            <v>TPTWL</v>
          </cell>
          <cell r="D526">
            <v>2.2305363970175143E-3</v>
          </cell>
          <cell r="E526">
            <v>2.8065452292415178E-3</v>
          </cell>
          <cell r="F526">
            <v>2.8984673430096368E-3</v>
          </cell>
          <cell r="G526">
            <v>2.5029373450488855E-3</v>
          </cell>
          <cell r="H526">
            <v>6.8362018767580189E-4</v>
          </cell>
          <cell r="I526">
            <v>4.8068657148227011E-4</v>
          </cell>
        </row>
        <row r="527">
          <cell r="A527" t="str">
            <v>T_TW-BEVELC-S2</v>
          </cell>
          <cell r="B527" t="str">
            <v>VAR_fin</v>
          </cell>
          <cell r="C527" t="str">
            <v>T-ELC-TWSTGout_S2</v>
          </cell>
          <cell r="D527">
            <v>3.5492525260502725E-4</v>
          </cell>
          <cell r="E527">
            <v>4.4632036344550427E-4</v>
          </cell>
          <cell r="F527">
            <v>4.6067495272873569E-4</v>
          </cell>
          <cell r="G527">
            <v>3.9716441796528058E-4</v>
          </cell>
          <cell r="H527">
            <v>1.0451665999272085E-4</v>
          </cell>
          <cell r="I527">
            <v>7.2373674722472399E-5</v>
          </cell>
        </row>
        <row r="528">
          <cell r="A528" t="str">
            <v>T_TW-BEVELC-S2</v>
          </cell>
          <cell r="B528" t="str">
            <v>VAR_ncap</v>
          </cell>
          <cell r="C528" t="str">
            <v>-</v>
          </cell>
          <cell r="D528">
            <v>1.44255907814956E-5</v>
          </cell>
          <cell r="E528">
            <v>4.93157027080135E-5</v>
          </cell>
          <cell r="F528">
            <v>5.0004187245139103E-5</v>
          </cell>
          <cell r="G528">
            <v>5.4734636043977098E-5</v>
          </cell>
          <cell r="H528">
            <v>9.0236965679712106E-5</v>
          </cell>
          <cell r="I528">
            <v>8.1274917321748897E-5</v>
          </cell>
        </row>
        <row r="529">
          <cell r="A529" t="str">
            <v>T_TW-BEVELC-S2</v>
          </cell>
          <cell r="B529" t="str">
            <v>VAR_cap</v>
          </cell>
          <cell r="C529" t="str">
            <v>-</v>
          </cell>
          <cell r="D529">
            <v>7.9928192171228624E-4</v>
          </cell>
          <cell r="E529">
            <v>9.6656884784668739E-4</v>
          </cell>
          <cell r="F529">
            <v>1.0165438172941015E-3</v>
          </cell>
          <cell r="G529">
            <v>9.0639914650695902E-4</v>
          </cell>
          <cell r="H529">
            <v>2.5817131147135491E-4</v>
          </cell>
          <cell r="I529">
            <v>1.8796585882472386E-4</v>
          </cell>
        </row>
        <row r="530">
          <cell r="A530" t="str">
            <v>TFRLFH2OFCL</v>
          </cell>
          <cell r="B530" t="str">
            <v>VAR_ncap</v>
          </cell>
          <cell r="C530" t="str">
            <v>-</v>
          </cell>
          <cell r="H530">
            <v>7.0198407047823796E-8</v>
          </cell>
        </row>
        <row r="531">
          <cell r="A531" t="str">
            <v>TFRLFH2OFCL</v>
          </cell>
          <cell r="B531" t="str">
            <v>VAR_cap</v>
          </cell>
          <cell r="C531" t="str">
            <v>-</v>
          </cell>
          <cell r="H531">
            <v>7.0198407047823796E-8</v>
          </cell>
          <cell r="I531">
            <v>7.0198407047823796E-8</v>
          </cell>
        </row>
        <row r="532">
          <cell r="A532" t="str">
            <v>T_TW-BEVELC-S3</v>
          </cell>
          <cell r="B532" t="str">
            <v>VAR_fout</v>
          </cell>
          <cell r="C532" t="str">
            <v>TPTWL</v>
          </cell>
          <cell r="D532">
            <v>3.2056389590775608E-4</v>
          </cell>
          <cell r="E532">
            <v>5.7580104862652709E-4</v>
          </cell>
          <cell r="F532">
            <v>6.3522842475738795E-4</v>
          </cell>
          <cell r="G532">
            <v>6.8505129929106166E-4</v>
          </cell>
          <cell r="H532">
            <v>5.295811229797195E-4</v>
          </cell>
          <cell r="I532">
            <v>2.5335193354527458E-4</v>
          </cell>
        </row>
        <row r="533">
          <cell r="A533" t="str">
            <v>T_TW-BEVELC-S3</v>
          </cell>
          <cell r="B533" t="str">
            <v>VAR_fin</v>
          </cell>
          <cell r="C533" t="str">
            <v>T-ELC-TWSTGout_S3</v>
          </cell>
          <cell r="D533">
            <v>7.8374735178523045E-5</v>
          </cell>
          <cell r="E533">
            <v>1.4054115400600562E-4</v>
          </cell>
          <cell r="F533">
            <v>1.5479655351781241E-4</v>
          </cell>
          <cell r="G533">
            <v>1.6644813849371146E-4</v>
          </cell>
          <cell r="H533">
            <v>1.2643275245151426E-4</v>
          </cell>
          <cell r="I533">
            <v>5.8435321665638792E-5</v>
          </cell>
        </row>
        <row r="534">
          <cell r="A534" t="str">
            <v>T_TW-BEVELC-S3</v>
          </cell>
          <cell r="B534" t="str">
            <v>VAR_ncap</v>
          </cell>
          <cell r="C534" t="str">
            <v>-</v>
          </cell>
          <cell r="D534">
            <v>1.0101273209200499E-5</v>
          </cell>
          <cell r="E534">
            <v>2.70985663455356E-5</v>
          </cell>
          <cell r="F534">
            <v>2.7581745480833801E-5</v>
          </cell>
          <cell r="G534">
            <v>2.8034333762462702E-5</v>
          </cell>
          <cell r="H534">
            <v>3.20041351364324E-5</v>
          </cell>
          <cell r="I534">
            <v>2.9767901435401999E-5</v>
          </cell>
        </row>
        <row r="535">
          <cell r="A535" t="str">
            <v>T_TW-BEVELC-S3</v>
          </cell>
          <cell r="B535" t="str">
            <v>VAR_cap</v>
          </cell>
          <cell r="C535" t="str">
            <v>-</v>
          </cell>
          <cell r="D535">
            <v>1.170819878745363E-4</v>
          </cell>
          <cell r="E535">
            <v>1.9909851436602179E-4</v>
          </cell>
          <cell r="F535">
            <v>2.2668265546572515E-4</v>
          </cell>
          <cell r="G535">
            <v>2.5469534552467423E-4</v>
          </cell>
          <cell r="H535">
            <v>2.0202831394600684E-4</v>
          </cell>
          <cell r="I535">
            <v>9.8183154202481857E-5</v>
          </cell>
        </row>
        <row r="536">
          <cell r="A536" t="str">
            <v>T_TW-BEVELC-S4</v>
          </cell>
          <cell r="B536" t="str">
            <v>VAR_fout</v>
          </cell>
          <cell r="C536" t="str">
            <v>TPTWL</v>
          </cell>
          <cell r="D536">
            <v>1.275292635820807E-4</v>
          </cell>
          <cell r="E536">
            <v>2.6530707614799221E-4</v>
          </cell>
          <cell r="F536">
            <v>3.4958611072976676E-4</v>
          </cell>
          <cell r="G536">
            <v>4.061181653691895E-4</v>
          </cell>
          <cell r="H536">
            <v>5.9712674596057512E-4</v>
          </cell>
          <cell r="I536">
            <v>3.780283566517352E-4</v>
          </cell>
        </row>
        <row r="537">
          <cell r="A537" t="str">
            <v>T_TW-BEVELC-S4</v>
          </cell>
          <cell r="B537" t="str">
            <v>VAR_fin</v>
          </cell>
          <cell r="C537" t="str">
            <v>T-ELC-TWSTGout_S4</v>
          </cell>
          <cell r="D537">
            <v>3.3871833204828396E-5</v>
          </cell>
          <cell r="E537">
            <v>7.0265969365981981E-5</v>
          </cell>
          <cell r="F537">
            <v>9.2247367139720101E-5</v>
          </cell>
          <cell r="G537">
            <v>1.0665638900160547E-4</v>
          </cell>
          <cell r="H537">
            <v>1.5459144706646822E-4</v>
          </cell>
          <cell r="I537">
            <v>9.5369952676830518E-5</v>
          </cell>
        </row>
        <row r="538">
          <cell r="A538" t="str">
            <v>T_TW-BEVELC-S4</v>
          </cell>
          <cell r="B538" t="str">
            <v>VAR_ncap</v>
          </cell>
          <cell r="C538" t="str">
            <v>-</v>
          </cell>
          <cell r="D538">
            <v>3.3270289525977599E-5</v>
          </cell>
          <cell r="E538">
            <v>3.1453738221830798E-5</v>
          </cell>
          <cell r="F538">
            <v>3.3077551945368E-5</v>
          </cell>
          <cell r="G538">
            <v>2.7223548589185899E-5</v>
          </cell>
          <cell r="H538">
            <v>3.6371278773020003E-5</v>
          </cell>
          <cell r="I538">
            <v>2.8432490588879499E-5</v>
          </cell>
        </row>
        <row r="539">
          <cell r="A539" t="str">
            <v>T_TW-BEVELC-S4</v>
          </cell>
          <cell r="B539" t="str">
            <v>VAR_cap</v>
          </cell>
          <cell r="C539" t="str">
            <v>-</v>
          </cell>
          <cell r="D539">
            <v>4.6270289525977597E-5</v>
          </cell>
          <cell r="E539">
            <v>9.1664344795930382E-5</v>
          </cell>
          <cell r="F539">
            <v>1.2474369788659736E-4</v>
          </cell>
          <cell r="G539">
            <v>1.5194454921950028E-4</v>
          </cell>
          <cell r="H539">
            <v>2.2663802069581481E-4</v>
          </cell>
          <cell r="I539">
            <v>1.4716971534739888E-4</v>
          </cell>
        </row>
        <row r="540">
          <cell r="A540" t="str">
            <v>T_B_u-BeVELCEXT</v>
          </cell>
          <cell r="B540" t="str">
            <v>VAR_fout</v>
          </cell>
          <cell r="C540" t="str">
            <v>TPBSu</v>
          </cell>
          <cell r="D540">
            <v>1.9967662185754803E-3</v>
          </cell>
          <cell r="E540">
            <v>1.6086689653583477E-3</v>
          </cell>
          <cell r="F540">
            <v>1.0040982586343699E-3</v>
          </cell>
        </row>
        <row r="541">
          <cell r="A541" t="str">
            <v>T_B_u-BeVELCEXT</v>
          </cell>
          <cell r="B541" t="str">
            <v>VAR_fin</v>
          </cell>
          <cell r="C541" t="str">
            <v>TELC</v>
          </cell>
          <cell r="D541">
            <v>4.7648647220909385E-4</v>
          </cell>
          <cell r="E541">
            <v>4.7681915257521008E-4</v>
          </cell>
          <cell r="F541">
            <v>4.6735491781515082E-4</v>
          </cell>
        </row>
        <row r="542">
          <cell r="A542" t="str">
            <v>T_B_u-BeVELCEXT</v>
          </cell>
          <cell r="B542" t="str">
            <v>VAR_cap</v>
          </cell>
          <cell r="C542" t="str">
            <v>-</v>
          </cell>
          <cell r="D542">
            <v>3.77895550061805E-5</v>
          </cell>
          <cell r="E542">
            <v>3.02316440049444E-5</v>
          </cell>
          <cell r="F542">
            <v>1.8894777503090199E-5</v>
          </cell>
        </row>
        <row r="543">
          <cell r="A543" t="str">
            <v>T_B_u-HYBDSL-S1</v>
          </cell>
          <cell r="B543" t="str">
            <v>VAR_fout</v>
          </cell>
          <cell r="C543" t="str">
            <v>CO2_T</v>
          </cell>
          <cell r="E543">
            <v>3.9823668940437398</v>
          </cell>
          <cell r="F543">
            <v>4.0006505625774782</v>
          </cell>
        </row>
        <row r="544">
          <cell r="A544" t="str">
            <v>T_B_u-HYBDSL-S1</v>
          </cell>
          <cell r="B544" t="str">
            <v>VAR_fout</v>
          </cell>
          <cell r="C544" t="str">
            <v>TPBSu</v>
          </cell>
          <cell r="E544">
            <v>8.8293202928976366E-3</v>
          </cell>
          <cell r="F544">
            <v>8.8719498805953159E-3</v>
          </cell>
        </row>
        <row r="545">
          <cell r="A545" t="str">
            <v>T_B_u-HYBDSL-S1</v>
          </cell>
          <cell r="B545" t="str">
            <v>VAR_fin</v>
          </cell>
          <cell r="C545" t="str">
            <v>TDSL</v>
          </cell>
          <cell r="E545">
            <v>5.4329698418059208E-2</v>
          </cell>
          <cell r="F545">
            <v>5.4579134550852337E-2</v>
          </cell>
        </row>
        <row r="546">
          <cell r="A546" t="str">
            <v>T_B_u-HYBDSL-S1</v>
          </cell>
          <cell r="B546" t="str">
            <v>VAR_ncap</v>
          </cell>
          <cell r="C546" t="str">
            <v>-</v>
          </cell>
          <cell r="E546">
            <v>1.6657532790917301E-4</v>
          </cell>
          <cell r="F546">
            <v>8.7698580994605799E-7</v>
          </cell>
        </row>
        <row r="547">
          <cell r="A547" t="str">
            <v>T_B_u-HYBDSL-S1</v>
          </cell>
          <cell r="B547" t="str">
            <v>VAR_cap</v>
          </cell>
          <cell r="C547" t="str">
            <v>-</v>
          </cell>
          <cell r="E547">
            <v>1.6657532790917301E-4</v>
          </cell>
          <cell r="F547">
            <v>1.67452313719119E-4</v>
          </cell>
          <cell r="G547">
            <v>3.0063006698313223E-10</v>
          </cell>
          <cell r="H547">
            <v>-5.1426526577780002E-10</v>
          </cell>
          <cell r="I547">
            <v>2.4576674262963201E-9</v>
          </cell>
        </row>
        <row r="548">
          <cell r="A548" t="str">
            <v>T_B_u-HYBDSL-S2</v>
          </cell>
          <cell r="B548" t="str">
            <v>VAR_fout</v>
          </cell>
          <cell r="C548" t="str">
            <v>CO2_T</v>
          </cell>
          <cell r="E548">
            <v>2.2248979092708499E-2</v>
          </cell>
          <cell r="F548">
            <v>3.1920867522130088E-2</v>
          </cell>
        </row>
        <row r="549">
          <cell r="A549" t="str">
            <v>T_B_u-HYBDSL-S2</v>
          </cell>
          <cell r="B549" t="str">
            <v>VAR_fout</v>
          </cell>
          <cell r="C549" t="str">
            <v>TPBSu</v>
          </cell>
          <cell r="E549">
            <v>3.5359769576344672E-5</v>
          </cell>
          <cell r="F549">
            <v>5.1477712365893428E-5</v>
          </cell>
        </row>
        <row r="550">
          <cell r="A550" t="str">
            <v>T_B_u-HYBDSL-S2</v>
          </cell>
          <cell r="B550" t="str">
            <v>VAR_fin</v>
          </cell>
          <cell r="C550" t="str">
            <v>TDSL</v>
          </cell>
          <cell r="E550">
            <v>3.0353313905468555E-4</v>
          </cell>
          <cell r="F550">
            <v>4.3548250371255181E-4</v>
          </cell>
        </row>
        <row r="551">
          <cell r="A551" t="str">
            <v>T_B_u-HYBDSL-S2</v>
          </cell>
          <cell r="B551" t="str">
            <v>VAR_ncap</v>
          </cell>
          <cell r="C551" t="str">
            <v>-</v>
          </cell>
          <cell r="E551">
            <v>6.8227567722157904E-7</v>
          </cell>
          <cell r="F551">
            <v>2.9320928199142401E-7</v>
          </cell>
        </row>
        <row r="552">
          <cell r="A552" t="str">
            <v>T_B_u-HYBDSL-S2</v>
          </cell>
          <cell r="B552" t="str">
            <v>VAR_cap</v>
          </cell>
          <cell r="C552" t="str">
            <v>-</v>
          </cell>
          <cell r="E552">
            <v>6.8227567722157904E-7</v>
          </cell>
          <cell r="F552">
            <v>9.7548495921300294E-7</v>
          </cell>
          <cell r="G552">
            <v>-6.9654627216159203E-9</v>
          </cell>
          <cell r="H552">
            <v>-1.40845882581481E-8</v>
          </cell>
        </row>
        <row r="553">
          <cell r="A553" t="str">
            <v>T_B_u-HYBDSL-S3</v>
          </cell>
          <cell r="B553" t="str">
            <v>VAR_fout</v>
          </cell>
          <cell r="C553" t="str">
            <v>CO2_T</v>
          </cell>
          <cell r="E553">
            <v>2.5851043875329102E-2</v>
          </cell>
          <cell r="F553">
            <v>3.489666510500182E-2</v>
          </cell>
        </row>
        <row r="554">
          <cell r="A554" t="str">
            <v>T_B_u-HYBDSL-S3</v>
          </cell>
          <cell r="B554" t="str">
            <v>VAR_fout</v>
          </cell>
          <cell r="C554" t="str">
            <v>TPBSu</v>
          </cell>
          <cell r="E554">
            <v>2.7591784809075529E-5</v>
          </cell>
          <cell r="F554">
            <v>3.7719600156637301E-5</v>
          </cell>
        </row>
        <row r="555">
          <cell r="A555" t="str">
            <v>T_B_u-HYBDSL-S3</v>
          </cell>
          <cell r="B555" t="str">
            <v>VAR_fin</v>
          </cell>
          <cell r="C555" t="str">
            <v>TDSL</v>
          </cell>
          <cell r="E555">
            <v>3.5267454127324826E-4</v>
          </cell>
          <cell r="F555">
            <v>4.7608001507505913E-4</v>
          </cell>
        </row>
        <row r="556">
          <cell r="A556" t="str">
            <v>T_B_u-HYBDSL-S3</v>
          </cell>
          <cell r="B556" t="str">
            <v>VAR_ncap</v>
          </cell>
          <cell r="C556" t="str">
            <v>-</v>
          </cell>
          <cell r="E556">
            <v>5.2215313941468595E-7</v>
          </cell>
          <cell r="F556">
            <v>1.82804391170053E-7</v>
          </cell>
        </row>
        <row r="557">
          <cell r="A557" t="str">
            <v>T_B_u-HYBDSL-S3</v>
          </cell>
          <cell r="B557" t="str">
            <v>VAR_cap</v>
          </cell>
          <cell r="C557" t="str">
            <v>-</v>
          </cell>
          <cell r="E557">
            <v>5.2215313941468595E-7</v>
          </cell>
          <cell r="F557">
            <v>7.0495753058473905E-7</v>
          </cell>
          <cell r="G557">
            <v>-8.6423676337520232E-9</v>
          </cell>
        </row>
        <row r="558">
          <cell r="A558" t="str">
            <v>T_C-HY-GSL-S1</v>
          </cell>
          <cell r="B558" t="str">
            <v>VAR_fout</v>
          </cell>
          <cell r="C558" t="str">
            <v>CO2_T</v>
          </cell>
          <cell r="D558">
            <v>3.4011915348400175</v>
          </cell>
          <cell r="E558">
            <v>3.9772111355677686</v>
          </cell>
          <cell r="F558">
            <v>2.8479519951555905</v>
          </cell>
          <cell r="G558">
            <v>2.206278274253576</v>
          </cell>
          <cell r="H558">
            <v>1.6011994172057058E-2</v>
          </cell>
        </row>
        <row r="559">
          <cell r="A559" t="str">
            <v>T_C-HY-GSL-S1</v>
          </cell>
          <cell r="B559" t="str">
            <v>VAR_fout</v>
          </cell>
          <cell r="C559" t="str">
            <v>TPCAR</v>
          </cell>
          <cell r="D559">
            <v>5.2248443719727998E-2</v>
          </cell>
          <cell r="E559">
            <v>6.2530309827707964E-2</v>
          </cell>
          <cell r="F559">
            <v>4.4663951139371542E-2</v>
          </cell>
          <cell r="G559">
            <v>3.5868984793126085E-2</v>
          </cell>
          <cell r="H559">
            <v>2.2107399784978131E-4</v>
          </cell>
        </row>
        <row r="560">
          <cell r="A560" t="str">
            <v>T_C-HY-GSL-S1</v>
          </cell>
          <cell r="B560" t="str">
            <v>VAR_fin</v>
          </cell>
          <cell r="C560" t="str">
            <v>TGSL</v>
          </cell>
          <cell r="D560">
            <v>4.6086606163143987E-2</v>
          </cell>
          <cell r="E560">
            <v>5.3891749804441356E-2</v>
          </cell>
          <cell r="F560">
            <v>3.8590135435712651E-2</v>
          </cell>
          <cell r="G560">
            <v>2.9895369569831586E-2</v>
          </cell>
          <cell r="H560">
            <v>2.1696469067827991E-4</v>
          </cell>
        </row>
        <row r="561">
          <cell r="A561" t="str">
            <v>T_C-HY-GSL-S1</v>
          </cell>
          <cell r="B561" t="str">
            <v>VAR_ncap</v>
          </cell>
          <cell r="C561" t="str">
            <v>-</v>
          </cell>
          <cell r="E561">
            <v>1.2337555907675999E-4</v>
          </cell>
          <cell r="F561">
            <v>2.1407159299919701E-4</v>
          </cell>
          <cell r="G561">
            <v>3.7725000229986801E-5</v>
          </cell>
        </row>
        <row r="562">
          <cell r="A562" t="str">
            <v>T_C-HY-GSL-S1</v>
          </cell>
          <cell r="B562" t="str">
            <v>VAR_cap</v>
          </cell>
          <cell r="C562" t="str">
            <v>-</v>
          </cell>
          <cell r="D562">
            <v>5.6688055260060146E-3</v>
          </cell>
          <cell r="E562">
            <v>6.6814995211122198E-3</v>
          </cell>
          <cell r="F562">
            <v>6.7783223499784584E-3</v>
          </cell>
          <cell r="G562">
            <v>5.4450671453687522E-3</v>
          </cell>
          <cell r="H562">
            <v>3.2312570501251199E-5</v>
          </cell>
        </row>
        <row r="563">
          <cell r="A563" t="str">
            <v>T_B_u-HYBDSL-S4</v>
          </cell>
          <cell r="B563" t="str">
            <v>VAR_cap</v>
          </cell>
          <cell r="C563" t="str">
            <v>-</v>
          </cell>
          <cell r="G563">
            <v>-1.7104010691156599E-8</v>
          </cell>
        </row>
        <row r="564">
          <cell r="A564" t="str">
            <v>TFRLFDSLEXT</v>
          </cell>
          <cell r="B564" t="str">
            <v>VAR_fout</v>
          </cell>
          <cell r="C564" t="str">
            <v>CO2_T</v>
          </cell>
          <cell r="D564">
            <v>29.033317709717799</v>
          </cell>
          <cell r="E564">
            <v>20.330022809309799</v>
          </cell>
          <cell r="F564">
            <v>2.49297012987179E-2</v>
          </cell>
          <cell r="G564">
            <v>2.59978752635425E-2</v>
          </cell>
          <cell r="H564">
            <v>2.6119194134971099E-2</v>
          </cell>
        </row>
        <row r="565">
          <cell r="A565" t="str">
            <v>TFRLFDSLEXT</v>
          </cell>
          <cell r="B565" t="str">
            <v>VAR_fout</v>
          </cell>
          <cell r="C565" t="str">
            <v>TFRLF</v>
          </cell>
          <cell r="D565">
            <v>1.6053776515143846E-3</v>
          </cell>
          <cell r="E565">
            <v>1.1241348508344779E-3</v>
          </cell>
          <cell r="F565">
            <v>1.3784709596070463E-6</v>
          </cell>
          <cell r="G565">
            <v>1.4375349159968796E-6</v>
          </cell>
          <cell r="H565">
            <v>1.4442431608776644E-6</v>
          </cell>
        </row>
        <row r="566">
          <cell r="A566" t="str">
            <v>TFRLFDSLEXT</v>
          </cell>
          <cell r="B566" t="str">
            <v>VAR_fin</v>
          </cell>
          <cell r="C566" t="str">
            <v>TDSL</v>
          </cell>
          <cell r="D566">
            <v>0.39608891827718634</v>
          </cell>
          <cell r="E566">
            <v>0.27735365360586317</v>
          </cell>
          <cell r="F566">
            <v>3.4010506546682055E-4</v>
          </cell>
          <cell r="G566">
            <v>3.5467769800194495E-4</v>
          </cell>
          <cell r="H566">
            <v>3.5633279856713663E-4</v>
          </cell>
        </row>
        <row r="567">
          <cell r="A567" t="str">
            <v>TFRLFDSLEXT</v>
          </cell>
          <cell r="B567" t="str">
            <v>VAR_ncap</v>
          </cell>
          <cell r="C567" t="str">
            <v>-</v>
          </cell>
          <cell r="D567">
            <v>1.48209239314916E-4</v>
          </cell>
        </row>
        <row r="568">
          <cell r="A568" t="str">
            <v>TFRLFDSLEXT</v>
          </cell>
          <cell r="B568" t="str">
            <v>VAR_cap</v>
          </cell>
          <cell r="C568" t="str">
            <v>-</v>
          </cell>
          <cell r="D568">
            <v>1.48209239314916E-4</v>
          </cell>
          <cell r="E568">
            <v>1.48209239314916E-4</v>
          </cell>
          <cell r="F568">
            <v>2.1512735010899807E-7</v>
          </cell>
          <cell r="G568">
            <v>2.1342926969001815E-7</v>
          </cell>
          <cell r="H568">
            <v>2.131440082950005E-7</v>
          </cell>
          <cell r="I568">
            <v>3.3691474562400634E-8</v>
          </cell>
        </row>
        <row r="569">
          <cell r="A569" t="str">
            <v>T_C-HY-GSL-S2</v>
          </cell>
          <cell r="B569" t="str">
            <v>VAR_fout</v>
          </cell>
          <cell r="C569" t="str">
            <v>CO2_T</v>
          </cell>
          <cell r="D569">
            <v>10.13866889945491</v>
          </cell>
          <cell r="E569">
            <v>30.431045389979012</v>
          </cell>
          <cell r="F569">
            <v>49.773246279127278</v>
          </cell>
          <cell r="G569">
            <v>41.949740350748151</v>
          </cell>
          <cell r="H569">
            <v>1.3571143770310929</v>
          </cell>
        </row>
        <row r="570">
          <cell r="A570" t="str">
            <v>T_C-HY-GSL-S2</v>
          </cell>
          <cell r="B570" t="str">
            <v>VAR_fout</v>
          </cell>
          <cell r="C570" t="str">
            <v>TPCAR</v>
          </cell>
          <cell r="D570">
            <v>0.22105588529529491</v>
          </cell>
          <cell r="E570">
            <v>0.91456281444375442</v>
          </cell>
          <cell r="F570">
            <v>1.4073096904024012</v>
          </cell>
          <cell r="G570">
            <v>1.1774924827869333</v>
          </cell>
          <cell r="H570">
            <v>3.402351686795807E-2</v>
          </cell>
        </row>
        <row r="571">
          <cell r="A571" t="str">
            <v>T_C-HY-GSL-S2</v>
          </cell>
          <cell r="B571" t="str">
            <v>VAR_fin</v>
          </cell>
          <cell r="C571" t="str">
            <v>TGSL</v>
          </cell>
          <cell r="D571">
            <v>0.13738033739098807</v>
          </cell>
          <cell r="E571">
            <v>0.41234478848210004</v>
          </cell>
          <cell r="F571">
            <v>0.6744342314244901</v>
          </cell>
          <cell r="G571">
            <v>0.56842466599929664</v>
          </cell>
          <cell r="H571">
            <v>1.8389083699608313E-2</v>
          </cell>
        </row>
        <row r="572">
          <cell r="A572" t="str">
            <v>T_C-HY-GSL-S2</v>
          </cell>
          <cell r="B572" t="str">
            <v>VAR_ncap</v>
          </cell>
          <cell r="C572" t="str">
            <v>-</v>
          </cell>
          <cell r="E572">
            <v>4.0701713741594099E-2</v>
          </cell>
          <cell r="F572">
            <v>4.1986867333435998E-2</v>
          </cell>
          <cell r="G572">
            <v>2.49990454862686E-5</v>
          </cell>
        </row>
        <row r="573">
          <cell r="A573" t="str">
            <v>T_C-HY-GSL-S2</v>
          </cell>
          <cell r="B573" t="str">
            <v>VAR_cap</v>
          </cell>
          <cell r="C573" t="str">
            <v>-</v>
          </cell>
          <cell r="D573">
            <v>1.7226648129452304E-2</v>
          </cell>
          <cell r="E573">
            <v>6.9390376708509796E-2</v>
          </cell>
          <cell r="F573">
            <v>0.1074369745320526</v>
          </cell>
          <cell r="G573">
            <v>8.9341809456531501E-2</v>
          </cell>
          <cell r="H573">
            <v>3.5145574526265315E-3</v>
          </cell>
        </row>
        <row r="574">
          <cell r="A574" t="str">
            <v>TPSHPNGAEXT</v>
          </cell>
          <cell r="B574" t="str">
            <v>VAR_ncap</v>
          </cell>
          <cell r="C574" t="str">
            <v>-</v>
          </cell>
          <cell r="D574">
            <v>7.7948689625383197E-7</v>
          </cell>
          <cell r="E574">
            <v>1.1076911833931699E-6</v>
          </cell>
          <cell r="F574">
            <v>2.2017963659141498E-6</v>
          </cell>
          <cell r="G574">
            <v>1.14009126199986E-6</v>
          </cell>
          <cell r="H574">
            <v>1.1973790731213E-6</v>
          </cell>
          <cell r="I574">
            <v>7.3564061817254702E-7</v>
          </cell>
        </row>
        <row r="575">
          <cell r="A575" t="str">
            <v>TPSHPNGAEXT</v>
          </cell>
          <cell r="B575" t="str">
            <v>VAR_cap</v>
          </cell>
          <cell r="C575" t="str">
            <v>-</v>
          </cell>
          <cell r="D575">
            <v>7.7948689625383197E-7</v>
          </cell>
          <cell r="E575">
            <v>1.8871780796470001E-6</v>
          </cell>
          <cell r="F575">
            <v>2.7814231986815395E-6</v>
          </cell>
          <cell r="G575">
            <v>1.2725188606315701E-6</v>
          </cell>
          <cell r="H575">
            <v>-3.0348270143542801E-6</v>
          </cell>
          <cell r="I575">
            <v>-4.8742062419650153E-8</v>
          </cell>
        </row>
        <row r="576">
          <cell r="A576" t="str">
            <v>T_C-HY-DSL-S1</v>
          </cell>
          <cell r="B576" t="str">
            <v>VAR_fout</v>
          </cell>
          <cell r="C576" t="str">
            <v>CO2_T</v>
          </cell>
          <cell r="D576">
            <v>2.3222468310290598E-3</v>
          </cell>
          <cell r="E576">
            <v>12.977244045229954</v>
          </cell>
          <cell r="F576">
            <v>8.7606112376358247</v>
          </cell>
          <cell r="G576">
            <v>7.0592868323218259</v>
          </cell>
          <cell r="H576">
            <v>1.981215929790207E-2</v>
          </cell>
        </row>
        <row r="577">
          <cell r="A577" t="str">
            <v>T_C-HY-DSL-S1</v>
          </cell>
          <cell r="B577" t="str">
            <v>VAR_fout</v>
          </cell>
          <cell r="C577" t="str">
            <v>TPCAR</v>
          </cell>
          <cell r="D577">
            <v>1.3250467212342269E-5</v>
          </cell>
          <cell r="E577">
            <v>0.30054635571803662</v>
          </cell>
          <cell r="F577">
            <v>0.20221689775601331</v>
          </cell>
          <cell r="G577">
            <v>0.16274244878517002</v>
          </cell>
          <cell r="H577">
            <v>3.3315018692129137E-4</v>
          </cell>
        </row>
        <row r="578">
          <cell r="A578" t="str">
            <v>T_C-HY-DSL-S1</v>
          </cell>
          <cell r="B578" t="str">
            <v>VAR_fin</v>
          </cell>
          <cell r="C578" t="str">
            <v>TDSL</v>
          </cell>
          <cell r="D578">
            <v>3.1681402878977612E-5</v>
          </cell>
          <cell r="E578">
            <v>0.17704289284079017</v>
          </cell>
          <cell r="F578">
            <v>0.1195172065161775</v>
          </cell>
          <cell r="G578">
            <v>9.6306778067146201E-2</v>
          </cell>
          <cell r="H578">
            <v>2.7028866709279809E-4</v>
          </cell>
        </row>
        <row r="579">
          <cell r="A579" t="str">
            <v>T_C-HY-DSL-S1</v>
          </cell>
          <cell r="B579" t="str">
            <v>VAR_ncap</v>
          </cell>
          <cell r="C579" t="str">
            <v>-</v>
          </cell>
          <cell r="E579">
            <v>3.2541522876039702E-2</v>
          </cell>
          <cell r="F579">
            <v>4.6298989058988799E-4</v>
          </cell>
          <cell r="G579">
            <v>2.7787492410666898E-5</v>
          </cell>
        </row>
        <row r="580">
          <cell r="A580" t="str">
            <v>T_C-HY-DSL-S1</v>
          </cell>
          <cell r="B580" t="str">
            <v>VAR_cap</v>
          </cell>
          <cell r="C580" t="str">
            <v>-</v>
          </cell>
          <cell r="D580">
            <v>1.5999999999999999E-6</v>
          </cell>
          <cell r="E580">
            <v>3.2109892670890094E-2</v>
          </cell>
          <cell r="F580">
            <v>3.0728867696782507E-2</v>
          </cell>
          <cell r="G580">
            <v>2.473094760238926E-2</v>
          </cell>
          <cell r="H580">
            <v>4.9284998247636988E-5</v>
          </cell>
        </row>
        <row r="581">
          <cell r="A581" t="str">
            <v>T_C-HY-GSL-S3</v>
          </cell>
          <cell r="B581" t="str">
            <v>VAR_fout</v>
          </cell>
          <cell r="C581" t="str">
            <v>CO2_T</v>
          </cell>
          <cell r="D581">
            <v>7.5245013837896098</v>
          </cell>
          <cell r="E581">
            <v>89.575612907942769</v>
          </cell>
          <cell r="F581">
            <v>84.717506755980054</v>
          </cell>
          <cell r="G581">
            <v>67.74616009793175</v>
          </cell>
          <cell r="H581">
            <v>5.0088999355845975E-3</v>
          </cell>
        </row>
        <row r="582">
          <cell r="A582" t="str">
            <v>T_C-HY-GSL-S3</v>
          </cell>
          <cell r="B582" t="str">
            <v>VAR_fout</v>
          </cell>
          <cell r="C582" t="str">
            <v>TPCAR</v>
          </cell>
          <cell r="D582">
            <v>0.20235005490666391</v>
          </cell>
          <cell r="E582">
            <v>3.0275434010803179</v>
          </cell>
          <cell r="F582">
            <v>2.8602566109621326</v>
          </cell>
          <cell r="G582">
            <v>2.3027190206661841</v>
          </cell>
          <cell r="H582">
            <v>5.7935856334996464E-5</v>
          </cell>
        </row>
        <row r="583">
          <cell r="A583" t="str">
            <v>T_C-HY-GSL-S3</v>
          </cell>
          <cell r="B583" t="str">
            <v>VAR_fin</v>
          </cell>
          <cell r="C583" t="str">
            <v>TGSL</v>
          </cell>
          <cell r="D583">
            <v>0.10195801333048257</v>
          </cell>
          <cell r="E583">
            <v>1.2137616925195494</v>
          </cell>
          <cell r="F583">
            <v>1.1479336958804893</v>
          </cell>
          <cell r="G583">
            <v>0.91796964902346356</v>
          </cell>
          <cell r="H583">
            <v>6.7871272839899763E-5</v>
          </cell>
        </row>
        <row r="584">
          <cell r="A584" t="str">
            <v>T_C-HY-GSL-S3</v>
          </cell>
          <cell r="B584" t="str">
            <v>VAR_ncap</v>
          </cell>
          <cell r="C584" t="str">
            <v>-</v>
          </cell>
          <cell r="E584">
            <v>0.184689495265426</v>
          </cell>
          <cell r="F584">
            <v>1.89424094788576E-5</v>
          </cell>
          <cell r="G584">
            <v>7.2838351900349397E-6</v>
          </cell>
        </row>
        <row r="585">
          <cell r="A585" t="str">
            <v>T_C-HY-GSL-S3</v>
          </cell>
          <cell r="B585" t="str">
            <v>VAR_cap</v>
          </cell>
          <cell r="C585" t="str">
            <v>-</v>
          </cell>
          <cell r="D585">
            <v>1.42483707318883E-2</v>
          </cell>
          <cell r="E585">
            <v>0.20816541371579581</v>
          </cell>
          <cell r="F585">
            <v>0.19667248025532369</v>
          </cell>
          <cell r="G585">
            <v>0.15833352194868688</v>
          </cell>
          <cell r="H585">
            <v>4.3702477950865261E-6</v>
          </cell>
        </row>
        <row r="586">
          <cell r="A586" t="str">
            <v>T_C-HY-DSL-S2</v>
          </cell>
          <cell r="B586" t="str">
            <v>VAR_fout</v>
          </cell>
          <cell r="C586" t="str">
            <v>CO2_T</v>
          </cell>
          <cell r="D586">
            <v>0.20708157159062604</v>
          </cell>
          <cell r="E586">
            <v>33.442643154947895</v>
          </cell>
          <cell r="F586">
            <v>92.176223524378372</v>
          </cell>
          <cell r="G586">
            <v>78.648279426467283</v>
          </cell>
          <cell r="H586">
            <v>3.7290510751701338</v>
          </cell>
        </row>
        <row r="587">
          <cell r="A587" t="str">
            <v>T_C-HY-DSL-S2</v>
          </cell>
          <cell r="B587" t="str">
            <v>VAR_fout</v>
          </cell>
          <cell r="C587" t="str">
            <v>TPCAR</v>
          </cell>
          <cell r="D587">
            <v>3.3125872818701506E-3</v>
          </cell>
          <cell r="E587">
            <v>1.2220971665097575</v>
          </cell>
          <cell r="F587">
            <v>2.7682546246947273</v>
          </cell>
          <cell r="G587">
            <v>2.3459960761156351</v>
          </cell>
          <cell r="H587">
            <v>9.9233187047762988E-2</v>
          </cell>
        </row>
        <row r="588">
          <cell r="A588" t="str">
            <v>T_C-HY-DSL-S2</v>
          </cell>
          <cell r="B588" t="str">
            <v>VAR_fin</v>
          </cell>
          <cell r="C588" t="str">
            <v>TDSL</v>
          </cell>
          <cell r="D588">
            <v>2.8251237597629784E-3</v>
          </cell>
          <cell r="E588">
            <v>0.45624342639765159</v>
          </cell>
          <cell r="F588">
            <v>1.2575201026518184</v>
          </cell>
          <cell r="G588">
            <v>1.0729642486557609</v>
          </cell>
          <cell r="H588">
            <v>5.0873820943658041E-2</v>
          </cell>
        </row>
        <row r="589">
          <cell r="A589" t="str">
            <v>T_C-HY-DSL-S2</v>
          </cell>
          <cell r="B589" t="str">
            <v>VAR_ncap</v>
          </cell>
          <cell r="C589" t="str">
            <v>-</v>
          </cell>
          <cell r="E589">
            <v>9.3447493609199406E-2</v>
          </cell>
          <cell r="F589">
            <v>0.12427317427168801</v>
          </cell>
          <cell r="G589">
            <v>1.8361392108247699E-5</v>
          </cell>
        </row>
        <row r="590">
          <cell r="A590" t="str">
            <v>T_C-HY-DSL-S2</v>
          </cell>
          <cell r="B590" t="str">
            <v>VAR_cap</v>
          </cell>
          <cell r="C590" t="str">
            <v>-</v>
          </cell>
          <cell r="D590">
            <v>2.5974980278954131E-4</v>
          </cell>
          <cell r="E590">
            <v>9.2724064767493786E-2</v>
          </cell>
          <cell r="F590">
            <v>0.21003824485801537</v>
          </cell>
          <cell r="G590">
            <v>0.17800261606058118</v>
          </cell>
          <cell r="H590">
            <v>1.0381119307607659E-2</v>
          </cell>
        </row>
        <row r="591">
          <cell r="A591" t="str">
            <v>D-T-ELC-Bus_c_S1</v>
          </cell>
          <cell r="B591" t="str">
            <v>VAR_fout</v>
          </cell>
          <cell r="C591" t="str">
            <v>T-ELC-Bus_c_BatSTGin_S1</v>
          </cell>
          <cell r="D591">
            <v>3.7185982086981341E-4</v>
          </cell>
          <cell r="E591">
            <v>1.5436102329278783E-3</v>
          </cell>
          <cell r="F591">
            <v>2.0271617870602958E-3</v>
          </cell>
          <cell r="G591">
            <v>0.14539782836721923</v>
          </cell>
          <cell r="H591">
            <v>0.14020458850818704</v>
          </cell>
          <cell r="I591">
            <v>0.1201830609677486</v>
          </cell>
        </row>
        <row r="592">
          <cell r="A592" t="str">
            <v>D-T-ELC-Bus_c_S1</v>
          </cell>
          <cell r="B592" t="str">
            <v>VAR_fin</v>
          </cell>
          <cell r="C592" t="str">
            <v>TELC</v>
          </cell>
          <cell r="D592">
            <v>3.7185982086981341E-4</v>
          </cell>
          <cell r="E592">
            <v>1.5436102329278783E-3</v>
          </cell>
          <cell r="F592">
            <v>2.0271617870602958E-3</v>
          </cell>
          <cell r="G592">
            <v>0.14539782836721923</v>
          </cell>
          <cell r="H592">
            <v>0.14020458850818704</v>
          </cell>
          <cell r="I592">
            <v>0.1201830609677486</v>
          </cell>
        </row>
        <row r="593">
          <cell r="A593" t="str">
            <v>D-T-ELC-Bus_c_S1</v>
          </cell>
          <cell r="B593" t="str">
            <v>VAR_ncap</v>
          </cell>
          <cell r="C593" t="str">
            <v>-</v>
          </cell>
          <cell r="D593">
            <v>4.3574944012579898E-5</v>
          </cell>
          <cell r="E593">
            <v>2.4872538591252501E-4</v>
          </cell>
          <cell r="F593">
            <v>9.1327632873012393E-5</v>
          </cell>
          <cell r="G593">
            <v>1.8175157624848601E-2</v>
          </cell>
          <cell r="H593">
            <v>1.4339383836057099E-2</v>
          </cell>
          <cell r="I593">
            <v>7.9553245142750893E-3</v>
          </cell>
        </row>
        <row r="594">
          <cell r="A594" t="str">
            <v>D-T-ELC-Bus_c_S1</v>
          </cell>
          <cell r="B594" t="str">
            <v>VAR_cap</v>
          </cell>
          <cell r="C594" t="str">
            <v>-</v>
          </cell>
          <cell r="D594">
            <v>4.3574944012579898E-5</v>
          </cell>
          <cell r="E594">
            <v>2.9230032992510498E-4</v>
          </cell>
          <cell r="F594">
            <v>3.8362796279811802E-4</v>
          </cell>
          <cell r="G594">
            <v>1.8514139312220401E-2</v>
          </cell>
          <cell r="H594">
            <v>1.75615952990806E-2</v>
          </cell>
          <cell r="I594">
            <v>1.5147126528414399E-2</v>
          </cell>
        </row>
        <row r="595">
          <cell r="A595" t="str">
            <v>T_C-HY-GSL-S4</v>
          </cell>
          <cell r="B595" t="str">
            <v>VAR_fout</v>
          </cell>
          <cell r="C595" t="str">
            <v>CO2_T</v>
          </cell>
          <cell r="D595">
            <v>6.6950682901741034</v>
          </cell>
          <cell r="E595">
            <v>9.9860734430060116</v>
          </cell>
          <cell r="F595">
            <v>9.390661586421734</v>
          </cell>
          <cell r="G595">
            <v>7.9611148027255121</v>
          </cell>
          <cell r="H595">
            <v>5.7106648856676077E-3</v>
          </cell>
        </row>
        <row r="596">
          <cell r="A596" t="str">
            <v>T_C-HY-GSL-S4</v>
          </cell>
          <cell r="B596" t="str">
            <v>VAR_fout</v>
          </cell>
          <cell r="C596" t="str">
            <v>TPCAR</v>
          </cell>
          <cell r="D596">
            <v>0.10410657314390838</v>
          </cell>
          <cell r="E596">
            <v>0.1794219085157169</v>
          </cell>
          <cell r="F596">
            <v>0.17092755765254022</v>
          </cell>
          <cell r="G596">
            <v>0.14406277446710694</v>
          </cell>
          <cell r="H596">
            <v>5.8625514847310762E-5</v>
          </cell>
        </row>
        <row r="597">
          <cell r="A597" t="str">
            <v>T_C-HY-GSL-S4</v>
          </cell>
          <cell r="B597" t="str">
            <v>VAR_fin</v>
          </cell>
          <cell r="C597" t="str">
            <v>TGSL</v>
          </cell>
          <cell r="D597">
            <v>9.0719082522684416E-2</v>
          </cell>
          <cell r="E597">
            <v>0.13531264827921419</v>
          </cell>
          <cell r="F597">
            <v>0.12724473694338406</v>
          </cell>
          <cell r="G597">
            <v>0.10787418431877399</v>
          </cell>
          <cell r="H597">
            <v>7.7380283003626089E-5</v>
          </cell>
        </row>
        <row r="598">
          <cell r="A598" t="str">
            <v>T_C-HY-GSL-S4</v>
          </cell>
          <cell r="B598" t="str">
            <v>VAR_ncap</v>
          </cell>
          <cell r="C598" t="str">
            <v>-</v>
          </cell>
          <cell r="E598">
            <v>5.1375242108809497E-5</v>
          </cell>
          <cell r="F598">
            <v>1.8243946171553001E-5</v>
          </cell>
          <cell r="G598">
            <v>9.6789736994096001E-6</v>
          </cell>
        </row>
        <row r="599">
          <cell r="A599" t="str">
            <v>T_C-HY-GSL-S4</v>
          </cell>
          <cell r="B599" t="str">
            <v>VAR_cap</v>
          </cell>
          <cell r="C599" t="str">
            <v>-</v>
          </cell>
          <cell r="D599">
            <v>8.3200599708647734E-3</v>
          </cell>
          <cell r="E599">
            <v>1.4129935057451276E-2</v>
          </cell>
          <cell r="F599">
            <v>1.3567239104082243E-2</v>
          </cell>
          <cell r="G599">
            <v>1.1355321308102443E-2</v>
          </cell>
          <cell r="H599">
            <v>5.229377887916279E-6</v>
          </cell>
        </row>
        <row r="600">
          <cell r="A600" t="str">
            <v>T_C-HY-DSL-S3</v>
          </cell>
          <cell r="B600" t="str">
            <v>VAR_fout</v>
          </cell>
          <cell r="C600" t="str">
            <v>CO2_T</v>
          </cell>
          <cell r="D600">
            <v>2.1595675523991602</v>
          </cell>
          <cell r="E600">
            <v>3.3329517639112529</v>
          </cell>
          <cell r="F600">
            <v>3.1953321591764214</v>
          </cell>
          <cell r="G600">
            <v>2.3941058074128594</v>
          </cell>
          <cell r="H600">
            <v>4.6098947648841402E-3</v>
          </cell>
        </row>
        <row r="601">
          <cell r="A601" t="str">
            <v>T_C-HY-DSL-S3</v>
          </cell>
          <cell r="B601" t="str">
            <v>VAR_fout</v>
          </cell>
          <cell r="C601" t="str">
            <v>TPCAR</v>
          </cell>
          <cell r="D601">
            <v>2.6404249892465197E-2</v>
          </cell>
          <cell r="E601">
            <v>5.4064282232739465E-2</v>
          </cell>
          <cell r="F601">
            <v>5.1625971466422824E-2</v>
          </cell>
          <cell r="G601">
            <v>4.1074681628356972E-2</v>
          </cell>
          <cell r="H601">
            <v>4.9737971855968634E-5</v>
          </cell>
        </row>
        <row r="602">
          <cell r="A602" t="str">
            <v>T_C-HY-DSL-S3</v>
          </cell>
          <cell r="B602" t="str">
            <v>VAR_fin</v>
          </cell>
          <cell r="C602" t="str">
            <v>TDSL</v>
          </cell>
          <cell r="D602">
            <v>2.946204027829678E-2</v>
          </cell>
          <cell r="E602">
            <v>4.547001042170868E-2</v>
          </cell>
          <cell r="F602">
            <v>4.3592526046062917E-2</v>
          </cell>
          <cell r="G602">
            <v>3.2661743620912106E-2</v>
          </cell>
          <cell r="H602">
            <v>6.2890788061175089E-5</v>
          </cell>
        </row>
        <row r="603">
          <cell r="A603" t="str">
            <v>T_C-HY-DSL-S3</v>
          </cell>
          <cell r="B603" t="str">
            <v>VAR_ncap</v>
          </cell>
          <cell r="C603" t="str">
            <v>-</v>
          </cell>
          <cell r="E603">
            <v>4.4454298357416299E-5</v>
          </cell>
          <cell r="F603">
            <v>1.60642547496239E-5</v>
          </cell>
          <cell r="G603">
            <v>6.3141371235675802E-6</v>
          </cell>
        </row>
        <row r="604">
          <cell r="A604" t="str">
            <v>T_C-HY-DSL-S3</v>
          </cell>
          <cell r="B604" t="str">
            <v>VAR_cap</v>
          </cell>
          <cell r="C604" t="str">
            <v>-</v>
          </cell>
          <cell r="D604">
            <v>1.8561251927152202E-3</v>
          </cell>
          <cell r="E604">
            <v>3.7181943974293813E-3</v>
          </cell>
          <cell r="F604">
            <v>3.5551885581941935E-3</v>
          </cell>
          <cell r="G604">
            <v>2.8297514458437514E-3</v>
          </cell>
          <cell r="H604">
            <v>3.75860102644599E-6</v>
          </cell>
        </row>
        <row r="605">
          <cell r="A605" t="str">
            <v>D-T-ELC-Bus_c_S2</v>
          </cell>
          <cell r="B605" t="str">
            <v>VAR_fout</v>
          </cell>
          <cell r="C605" t="str">
            <v>T-ELC-Bus_c_BatSTGin_S2</v>
          </cell>
          <cell r="D605">
            <v>5.6733998531577421E-4</v>
          </cell>
          <cell r="E605">
            <v>7.4625909901515815E-4</v>
          </cell>
          <cell r="F605">
            <v>8.719960703254759E-4</v>
          </cell>
          <cell r="G605">
            <v>0.17764518749272767</v>
          </cell>
          <cell r="H605">
            <v>0.16679796085299828</v>
          </cell>
          <cell r="I605">
            <v>0.14981428870369473</v>
          </cell>
        </row>
        <row r="606">
          <cell r="A606" t="str">
            <v>D-T-ELC-Bus_c_S2</v>
          </cell>
          <cell r="B606" t="str">
            <v>VAR_fin</v>
          </cell>
          <cell r="C606" t="str">
            <v>TELC</v>
          </cell>
          <cell r="D606">
            <v>5.6733998531577421E-4</v>
          </cell>
          <cell r="E606">
            <v>7.4625909901515815E-4</v>
          </cell>
          <cell r="F606">
            <v>8.719960703254759E-4</v>
          </cell>
          <cell r="G606">
            <v>0.17764518749272767</v>
          </cell>
          <cell r="H606">
            <v>0.16679796085299828</v>
          </cell>
          <cell r="I606">
            <v>0.14981428870369473</v>
          </cell>
        </row>
        <row r="607">
          <cell r="A607" t="str">
            <v>D-T-ELC-Bus_c_S2</v>
          </cell>
          <cell r="B607" t="str">
            <v>VAR_ncap</v>
          </cell>
          <cell r="C607" t="str">
            <v>-</v>
          </cell>
          <cell r="D607">
            <v>6.2201886691733502E-5</v>
          </cell>
          <cell r="E607">
            <v>1.8425848793235801E-5</v>
          </cell>
          <cell r="F607">
            <v>1.8680721229426598E-5</v>
          </cell>
          <cell r="G607">
            <v>2.2481667912209E-2</v>
          </cell>
          <cell r="H607">
            <v>1.6935178809302402E-2</v>
          </cell>
          <cell r="I607">
            <v>1.04210686071284E-2</v>
          </cell>
        </row>
        <row r="608">
          <cell r="A608" t="str">
            <v>D-T-ELC-Bus_c_S2</v>
          </cell>
          <cell r="B608" t="str">
            <v>VAR_cap</v>
          </cell>
          <cell r="C608" t="str">
            <v>-</v>
          </cell>
          <cell r="D608">
            <v>6.2201886691733502E-5</v>
          </cell>
          <cell r="E608">
            <v>8.06277354849693E-5</v>
          </cell>
          <cell r="F608">
            <v>9.9308456714395895E-5</v>
          </cell>
          <cell r="G608">
            <v>2.2561846060205101E-2</v>
          </cell>
          <cell r="H608">
            <v>2.0922333473393399E-2</v>
          </cell>
          <cell r="I608">
            <v>1.89150556082162E-2</v>
          </cell>
        </row>
        <row r="609">
          <cell r="A609" t="str">
            <v>T_C-HY-DSL-S4</v>
          </cell>
          <cell r="B609" t="str">
            <v>VAR_fout</v>
          </cell>
          <cell r="C609" t="str">
            <v>CO2_T</v>
          </cell>
          <cell r="D609">
            <v>2.5890585130175334</v>
          </cell>
          <cell r="E609">
            <v>5.2036162189575759</v>
          </cell>
          <cell r="F609">
            <v>4.9367113826780677</v>
          </cell>
          <cell r="G609">
            <v>4.0521120003291715</v>
          </cell>
          <cell r="H609">
            <v>5.0215663353961621E-3</v>
          </cell>
        </row>
        <row r="610">
          <cell r="A610" t="str">
            <v>T_C-HY-DSL-S4</v>
          </cell>
          <cell r="B610" t="str">
            <v>VAR_fout</v>
          </cell>
          <cell r="C610" t="str">
            <v>TPCAR</v>
          </cell>
          <cell r="D610">
            <v>4.7529540597026916E-2</v>
          </cell>
          <cell r="E610">
            <v>0.11199479757069629</v>
          </cell>
          <cell r="F610">
            <v>0.10684634914976715</v>
          </cell>
          <cell r="G610">
            <v>8.9640123659230644E-2</v>
          </cell>
          <cell r="H610">
            <v>5.2973491553581085E-5</v>
          </cell>
        </row>
        <row r="611">
          <cell r="A611" t="str">
            <v>T_C-HY-DSL-S4</v>
          </cell>
          <cell r="B611" t="str">
            <v>VAR_fin</v>
          </cell>
          <cell r="C611" t="str">
            <v>TDSL</v>
          </cell>
          <cell r="D611">
            <v>3.5321398540484827E-2</v>
          </cell>
          <cell r="E611">
            <v>7.0990671472818359E-2</v>
          </cell>
          <cell r="F611">
            <v>6.7349404947858946E-2</v>
          </cell>
          <cell r="G611">
            <v>5.5281200550193393E-2</v>
          </cell>
          <cell r="H611">
            <v>6.8507044139101824E-5</v>
          </cell>
        </row>
        <row r="612">
          <cell r="A612" t="str">
            <v>T_C-HY-DSL-S4</v>
          </cell>
          <cell r="B612" t="str">
            <v>VAR_ncap</v>
          </cell>
          <cell r="C612" t="str">
            <v>-</v>
          </cell>
          <cell r="E612">
            <v>5.07626208484936E-5</v>
          </cell>
          <cell r="F612">
            <v>1.8358877509677798E-5</v>
          </cell>
          <cell r="G612">
            <v>8.3445783841542896E-6</v>
          </cell>
        </row>
        <row r="613">
          <cell r="A613" t="str">
            <v>T_C-HY-DSL-S4</v>
          </cell>
          <cell r="B613" t="str">
            <v>VAR_cap</v>
          </cell>
          <cell r="C613" t="str">
            <v>-</v>
          </cell>
          <cell r="D613">
            <v>3.7727206989081039E-3</v>
          </cell>
          <cell r="E613">
            <v>8.8199293468045753E-3</v>
          </cell>
          <cell r="F613">
            <v>8.4270226215322295E-3</v>
          </cell>
          <cell r="G613">
            <v>7.069411093677553E-3</v>
          </cell>
          <cell r="H613">
            <v>4.727820001858101E-6</v>
          </cell>
        </row>
        <row r="614">
          <cell r="A614" t="str">
            <v>D-T-ELC-Bus_c_S3</v>
          </cell>
          <cell r="B614" t="str">
            <v>VAR_fout</v>
          </cell>
          <cell r="C614" t="str">
            <v>T-ELC-Bus_c_BatSTGin_S3</v>
          </cell>
          <cell r="D614">
            <v>1.9648577916563743E-4</v>
          </cell>
          <cell r="E614">
            <v>2.6541230152476379E-4</v>
          </cell>
          <cell r="F614">
            <v>3.2061134298612789E-4</v>
          </cell>
          <cell r="G614">
            <v>5.7596805662422472E-2</v>
          </cell>
          <cell r="H614">
            <v>5.3660907781390092E-2</v>
          </cell>
          <cell r="I614">
            <v>4.7834752286061766E-2</v>
          </cell>
        </row>
        <row r="615">
          <cell r="A615" t="str">
            <v>D-T-ELC-Bus_c_S3</v>
          </cell>
          <cell r="B615" t="str">
            <v>VAR_fin</v>
          </cell>
          <cell r="C615" t="str">
            <v>TELC</v>
          </cell>
          <cell r="D615">
            <v>1.9648577916563743E-4</v>
          </cell>
          <cell r="E615">
            <v>2.6541230152476379E-4</v>
          </cell>
          <cell r="F615">
            <v>3.2061134298612789E-4</v>
          </cell>
          <cell r="G615">
            <v>5.7596805662422472E-2</v>
          </cell>
          <cell r="H615">
            <v>5.3660907781390092E-2</v>
          </cell>
          <cell r="I615">
            <v>4.7834752286061766E-2</v>
          </cell>
        </row>
        <row r="616">
          <cell r="A616" t="str">
            <v>D-T-ELC-Bus_c_S3</v>
          </cell>
          <cell r="B616" t="str">
            <v>VAR_ncap</v>
          </cell>
          <cell r="C616" t="str">
            <v>-</v>
          </cell>
          <cell r="D616">
            <v>2.2224780634572001E-5</v>
          </cell>
          <cell r="E616">
            <v>5.5082770260343198E-6</v>
          </cell>
          <cell r="F616">
            <v>7.3846360456594801E-6</v>
          </cell>
          <cell r="G616">
            <v>7.0615430755055202E-3</v>
          </cell>
          <cell r="H616">
            <v>4.9025639555436403E-3</v>
          </cell>
          <cell r="I616">
            <v>4.3063228889868898E-3</v>
          </cell>
        </row>
        <row r="617">
          <cell r="A617" t="str">
            <v>D-T-ELC-Bus_c_S3</v>
          </cell>
          <cell r="B617" t="str">
            <v>VAR_cap</v>
          </cell>
          <cell r="C617" t="str">
            <v>-</v>
          </cell>
          <cell r="D617">
            <v>2.2224780634572001E-5</v>
          </cell>
          <cell r="E617">
            <v>2.7733057660606301E-5</v>
          </cell>
          <cell r="F617">
            <v>3.5117693706265801E-5</v>
          </cell>
          <cell r="G617">
            <v>7.0821882744525099E-3</v>
          </cell>
          <cell r="H617">
            <v>6.6556445209902098E-3</v>
          </cell>
          <cell r="I617">
            <v>5.9855552072835801E-3</v>
          </cell>
        </row>
        <row r="618">
          <cell r="A618" t="str">
            <v>D-T-ELC-Bus_c_S4</v>
          </cell>
          <cell r="B618" t="str">
            <v>VAR_fout</v>
          </cell>
          <cell r="C618" t="str">
            <v>T-ELC-Bus_c_BatSTGin_S4</v>
          </cell>
          <cell r="D618">
            <v>6.875049058625949E-6</v>
          </cell>
          <cell r="E618">
            <v>3.9427191786114632E-5</v>
          </cell>
          <cell r="F618">
            <v>4.9925081651047943E-5</v>
          </cell>
          <cell r="G618">
            <v>3.5939436138124601E-5</v>
          </cell>
          <cell r="H618">
            <v>2.3156348699845266E-4</v>
          </cell>
          <cell r="I618">
            <v>1.5491873930730533E-4</v>
          </cell>
        </row>
        <row r="619">
          <cell r="A619" t="str">
            <v>D-T-ELC-Bus_c_S4</v>
          </cell>
          <cell r="B619" t="str">
            <v>VAR_fin</v>
          </cell>
          <cell r="C619" t="str">
            <v>TELC</v>
          </cell>
          <cell r="D619">
            <v>6.875049058625949E-6</v>
          </cell>
          <cell r="E619">
            <v>3.9427191786114632E-5</v>
          </cell>
          <cell r="F619">
            <v>4.9925081651047943E-5</v>
          </cell>
          <cell r="G619">
            <v>3.5939436138124601E-5</v>
          </cell>
          <cell r="H619">
            <v>2.3156348699845266E-4</v>
          </cell>
          <cell r="I619">
            <v>1.5491873930730533E-4</v>
          </cell>
        </row>
        <row r="620">
          <cell r="A620" t="str">
            <v>D-T-ELC-Bus_c_S4</v>
          </cell>
          <cell r="B620" t="str">
            <v>VAR_ncap</v>
          </cell>
          <cell r="C620" t="str">
            <v>-</v>
          </cell>
          <cell r="D620">
            <v>2.4399748548380099E-6</v>
          </cell>
          <cell r="E620">
            <v>1.7240514853977301E-6</v>
          </cell>
          <cell r="F620">
            <v>9.5680147632789699E-7</v>
          </cell>
          <cell r="G620">
            <v>4.7743664986148697E-7</v>
          </cell>
          <cell r="H620">
            <v>4.3161014091122701E-5</v>
          </cell>
          <cell r="I620">
            <v>2.0335139825708E-5</v>
          </cell>
        </row>
        <row r="621">
          <cell r="A621" t="str">
            <v>D-T-ELC-Bus_c_S4</v>
          </cell>
          <cell r="B621" t="str">
            <v>VAR_cap</v>
          </cell>
          <cell r="C621" t="str">
            <v>-</v>
          </cell>
          <cell r="D621">
            <v>2.4399748548380099E-6</v>
          </cell>
          <cell r="E621">
            <v>4.16402634023574E-6</v>
          </cell>
          <cell r="F621">
            <v>5.1208278165636397E-6</v>
          </cell>
          <cell r="G621">
            <v>2.0757911955322802E-6</v>
          </cell>
          <cell r="H621">
            <v>4.6035546053407402E-5</v>
          </cell>
          <cell r="I621">
            <v>2.7909407330896399E-5</v>
          </cell>
        </row>
        <row r="622">
          <cell r="A622" t="str">
            <v>D-TH2O</v>
          </cell>
          <cell r="B622" t="str">
            <v>VAR_fout</v>
          </cell>
          <cell r="C622" t="str">
            <v>TH2Ointl</v>
          </cell>
          <cell r="H622">
            <v>1.05556614709358E-5</v>
          </cell>
          <cell r="I622">
            <v>5.8756181894922904E-7</v>
          </cell>
        </row>
        <row r="623">
          <cell r="A623" t="str">
            <v>D-TH2O</v>
          </cell>
          <cell r="B623" t="str">
            <v>VAR_fout</v>
          </cell>
          <cell r="C623" t="str">
            <v>TH2O</v>
          </cell>
          <cell r="D623">
            <v>3.3535542127791852E-3</v>
          </cell>
          <cell r="E623">
            <v>3.0638755523346405E-3</v>
          </cell>
          <cell r="F623">
            <v>2.993420969450951E-3</v>
          </cell>
          <cell r="G623">
            <v>3.8880609641654961E-4</v>
          </cell>
          <cell r="H623">
            <v>8.862523242345186E-4</v>
          </cell>
          <cell r="I623">
            <v>7.9470274530801821E-4</v>
          </cell>
        </row>
        <row r="624">
          <cell r="A624" t="str">
            <v>D-TH2O</v>
          </cell>
          <cell r="B624" t="str">
            <v>VAR_fin</v>
          </cell>
          <cell r="C624" t="str">
            <v>H2</v>
          </cell>
          <cell r="D624">
            <v>3.3535542127791852E-3</v>
          </cell>
          <cell r="E624">
            <v>3.0638755523346405E-3</v>
          </cell>
          <cell r="F624">
            <v>2.993420969450951E-3</v>
          </cell>
          <cell r="G624">
            <v>3.8880609641654961E-4</v>
          </cell>
          <cell r="H624">
            <v>8.9680798570545347E-4</v>
          </cell>
          <cell r="I624">
            <v>7.975110087887888E-4</v>
          </cell>
        </row>
        <row r="625">
          <cell r="A625" t="str">
            <v>D-TH2O</v>
          </cell>
          <cell r="B625" t="str">
            <v>VAR_ncap</v>
          </cell>
          <cell r="C625" t="str">
            <v>-</v>
          </cell>
          <cell r="D625">
            <v>5.9417206802522403E-4</v>
          </cell>
          <cell r="E625">
            <v>2.23557190129089E-6</v>
          </cell>
          <cell r="F625">
            <v>1.61162754379642E-7</v>
          </cell>
          <cell r="G625">
            <v>1.2811505032409299E-7</v>
          </cell>
          <cell r="H625">
            <v>3.7706771538969598E-6</v>
          </cell>
          <cell r="I625">
            <v>1.8573230423095899E-7</v>
          </cell>
        </row>
        <row r="626">
          <cell r="A626" t="str">
            <v>D-TH2O</v>
          </cell>
          <cell r="B626" t="str">
            <v>VAR_cap</v>
          </cell>
          <cell r="C626" t="str">
            <v>-</v>
          </cell>
          <cell r="D626">
            <v>5.9417206802522403E-4</v>
          </cell>
          <cell r="E626">
            <v>5.9640763992651496E-4</v>
          </cell>
          <cell r="F626">
            <v>5.9656880268089496E-4</v>
          </cell>
          <cell r="G626">
            <v>5.96696917731219E-4</v>
          </cell>
          <cell r="H626">
            <v>6.0071129656454601E-4</v>
          </cell>
          <cell r="I626">
            <v>6.0089702886877703E-4</v>
          </cell>
        </row>
        <row r="627">
          <cell r="A627" t="str">
            <v>TFHGV-HYBDSL</v>
          </cell>
          <cell r="B627" t="str">
            <v>VAR_fout</v>
          </cell>
          <cell r="C627" t="str">
            <v>CO2_T</v>
          </cell>
          <cell r="E627">
            <v>84.968679421873006</v>
          </cell>
          <cell r="F627">
            <v>306.91096541216399</v>
          </cell>
          <cell r="G627">
            <v>819.46683661268571</v>
          </cell>
          <cell r="H627">
            <v>778.28467808670007</v>
          </cell>
          <cell r="I627">
            <v>32.238782303641997</v>
          </cell>
        </row>
        <row r="628">
          <cell r="A628" t="str">
            <v>TFHGV-HYBDSL</v>
          </cell>
          <cell r="B628" t="str">
            <v>VAR_fout</v>
          </cell>
          <cell r="C628" t="str">
            <v>TFHGV</v>
          </cell>
          <cell r="E628">
            <v>0.18948925718843315</v>
          </cell>
          <cell r="F628">
            <v>0.6844443300123243</v>
          </cell>
          <cell r="G628">
            <v>1.8274988291782268</v>
          </cell>
          <cell r="H628">
            <v>1.7356582041196671</v>
          </cell>
          <cell r="I628">
            <v>7.1895938043779403E-2</v>
          </cell>
        </row>
        <row r="629">
          <cell r="A629" t="str">
            <v>TFHGV-HYBDSL</v>
          </cell>
          <cell r="B629" t="str">
            <v>VAR_fin</v>
          </cell>
          <cell r="C629" t="str">
            <v>TDSL</v>
          </cell>
          <cell r="E629">
            <v>1.1591907151687986</v>
          </cell>
          <cell r="F629">
            <v>4.1870527341359285</v>
          </cell>
          <cell r="G629">
            <v>11.179629421728322</v>
          </cell>
          <cell r="H629">
            <v>10.617799155343791</v>
          </cell>
          <cell r="I629">
            <v>0.43981967672090105</v>
          </cell>
        </row>
        <row r="630">
          <cell r="A630" t="str">
            <v>TFHGV-HYBDSL</v>
          </cell>
          <cell r="B630" t="str">
            <v>VAR_ncap</v>
          </cell>
          <cell r="C630" t="str">
            <v>-</v>
          </cell>
          <cell r="E630">
            <v>3.5647395751374298E-3</v>
          </cell>
          <cell r="F630">
            <v>9.3116634127558898E-3</v>
          </cell>
          <cell r="G630">
            <v>2.6484361255487102E-2</v>
          </cell>
          <cell r="H630">
            <v>1.1009770585716099E-2</v>
          </cell>
        </row>
        <row r="631">
          <cell r="A631" t="str">
            <v>TFHGV-HYBDSL</v>
          </cell>
          <cell r="B631" t="str">
            <v>VAR_cap</v>
          </cell>
          <cell r="C631" t="str">
            <v>-</v>
          </cell>
          <cell r="E631">
            <v>3.5647395751374298E-3</v>
          </cell>
          <cell r="F631">
            <v>1.28764029878933E-2</v>
          </cell>
          <cell r="G631">
            <v>3.4379789278184601E-2</v>
          </cell>
          <cell r="H631">
            <v>3.2871031928439598E-2</v>
          </cell>
          <cell r="I631">
            <v>1.9320896263213599E-3</v>
          </cell>
        </row>
        <row r="632">
          <cell r="A632" t="str">
            <v>D-TKER</v>
          </cell>
          <cell r="B632" t="str">
            <v>VAR_fout</v>
          </cell>
          <cell r="C632" t="str">
            <v>CO2</v>
          </cell>
          <cell r="D632">
            <v>80.715281935522</v>
          </cell>
          <cell r="E632">
            <v>102.298470082587</v>
          </cell>
          <cell r="F632">
            <v>134.54789822638901</v>
          </cell>
          <cell r="G632">
            <v>184.77282309823701</v>
          </cell>
          <cell r="H632">
            <v>156.62435553143399</v>
          </cell>
          <cell r="I632">
            <v>1.0808167019305899E-5</v>
          </cell>
        </row>
        <row r="633">
          <cell r="A633" t="str">
            <v>D-TKER</v>
          </cell>
          <cell r="B633" t="str">
            <v>VAR_fout</v>
          </cell>
          <cell r="C633" t="str">
            <v>TKER</v>
          </cell>
          <cell r="D633">
            <v>1.0924324409189801</v>
          </cell>
          <cell r="E633">
            <v>1.3845478166559699</v>
          </cell>
          <cell r="F633">
            <v>1.8210242887758099</v>
          </cell>
          <cell r="G633">
            <v>2.5007882189390598</v>
          </cell>
          <cell r="H633">
            <v>2.1198157637267201</v>
          </cell>
          <cell r="I633">
            <v>1.46281992649079E-7</v>
          </cell>
        </row>
        <row r="634">
          <cell r="A634" t="str">
            <v>D-TKER</v>
          </cell>
          <cell r="B634" t="str">
            <v>VAR_fin</v>
          </cell>
          <cell r="C634" t="str">
            <v>KER</v>
          </cell>
          <cell r="D634">
            <v>1.1087264002132173</v>
          </cell>
          <cell r="E634">
            <v>1.4051987648706992</v>
          </cell>
          <cell r="F634">
            <v>1.8481854151976467</v>
          </cell>
          <cell r="G634">
            <v>2.5380882293713856</v>
          </cell>
          <cell r="H634">
            <v>2.1514334551021137</v>
          </cell>
          <cell r="I634">
            <v>1.4846383268277314E-7</v>
          </cell>
        </row>
        <row r="635">
          <cell r="A635" t="str">
            <v>T_B_u-BEVELC-S1</v>
          </cell>
          <cell r="B635" t="str">
            <v>VAR_fout</v>
          </cell>
          <cell r="C635" t="str">
            <v>TPBSu</v>
          </cell>
          <cell r="D635">
            <v>1.345546511549686E-7</v>
          </cell>
          <cell r="E635">
            <v>3.6886397513331414E-4</v>
          </cell>
          <cell r="F635">
            <v>7.2733461637511767E-4</v>
          </cell>
          <cell r="G635">
            <v>0.10595532247028361</v>
          </cell>
          <cell r="H635">
            <v>0.11952974327480441</v>
          </cell>
          <cell r="I635">
            <v>0.12786922473122919</v>
          </cell>
        </row>
        <row r="636">
          <cell r="A636" t="str">
            <v>T_B_u-BEVELC-S1</v>
          </cell>
          <cell r="B636" t="str">
            <v>VAR_fin</v>
          </cell>
          <cell r="C636" t="str">
            <v>T-ELC-Bus_u_BatSTGout_S1</v>
          </cell>
          <cell r="D636">
            <v>3.553130742986553E-7</v>
          </cell>
          <cell r="E636">
            <v>9.3997238340058392E-4</v>
          </cell>
          <cell r="F636">
            <v>1.807665836861536E-3</v>
          </cell>
          <cell r="G636">
            <v>0.23686954470865951</v>
          </cell>
          <cell r="H636">
            <v>0.2509609870462991</v>
          </cell>
          <cell r="I636">
            <v>0.24178086099697471</v>
          </cell>
        </row>
        <row r="637">
          <cell r="A637" t="str">
            <v>T_B_u-BEVELC-S1</v>
          </cell>
          <cell r="B637" t="str">
            <v>VAR_ncap</v>
          </cell>
          <cell r="C637" t="str">
            <v>-</v>
          </cell>
          <cell r="E637">
            <v>7.02331783047532E-6</v>
          </cell>
          <cell r="F637">
            <v>6.90283941865622E-6</v>
          </cell>
          <cell r="G637">
            <v>1.9969648155053498E-3</v>
          </cell>
          <cell r="H637">
            <v>5.1483903514611899E-4</v>
          </cell>
          <cell r="I637">
            <v>2.36764795204646E-3</v>
          </cell>
        </row>
        <row r="638">
          <cell r="A638" t="str">
            <v>T_B_u-BEVELC-S1</v>
          </cell>
          <cell r="B638" t="str">
            <v>VAR_cap</v>
          </cell>
          <cell r="C638" t="str">
            <v>-</v>
          </cell>
          <cell r="D638">
            <v>3.02390998593531E-8</v>
          </cell>
          <cell r="E638">
            <v>7.0648086884218739E-6</v>
          </cell>
          <cell r="F638">
            <v>1.3967648107078054E-5</v>
          </cell>
          <cell r="G638">
            <v>1.9987955660108136E-3</v>
          </cell>
          <cell r="H638">
            <v>2.8772219012711681E-3</v>
          </cell>
          <cell r="I638">
            <v>3.040314426170056E-3</v>
          </cell>
        </row>
        <row r="639">
          <cell r="A639" t="str">
            <v>TPSHPH2OEXT</v>
          </cell>
          <cell r="B639" t="str">
            <v>VAR_fout</v>
          </cell>
          <cell r="C639" t="str">
            <v>TPSHP</v>
          </cell>
          <cell r="H639">
            <v>8.0294342089819905E-5</v>
          </cell>
          <cell r="I639">
            <v>2.03047160601782E-5</v>
          </cell>
        </row>
        <row r="640">
          <cell r="A640" t="str">
            <v>TPSHPH2OEXT</v>
          </cell>
          <cell r="B640" t="str">
            <v>VAR_fin</v>
          </cell>
          <cell r="C640" t="str">
            <v>TH2O</v>
          </cell>
          <cell r="H640">
            <v>4.4770178619778202E-5</v>
          </cell>
          <cell r="I640">
            <v>1.1321417439614461E-5</v>
          </cell>
        </row>
        <row r="641">
          <cell r="A641" t="str">
            <v>TPSHPH2OEXT</v>
          </cell>
          <cell r="B641" t="str">
            <v>VAR_ncap</v>
          </cell>
          <cell r="C641" t="str">
            <v>-</v>
          </cell>
          <cell r="H641">
            <v>1.07514337539831E-6</v>
          </cell>
          <cell r="I641">
            <v>6.5771041429962705E-7</v>
          </cell>
        </row>
        <row r="642">
          <cell r="A642" t="str">
            <v>TPSHPH2OEXT</v>
          </cell>
          <cell r="B642" t="str">
            <v>VAR_cap</v>
          </cell>
          <cell r="C642" t="str">
            <v>-</v>
          </cell>
          <cell r="H642">
            <v>2.0091467568551439E-6</v>
          </cell>
          <cell r="I642">
            <v>3.061031208142801E-7</v>
          </cell>
        </row>
        <row r="643">
          <cell r="A643" t="str">
            <v>T_B_u-BEVELC-S2</v>
          </cell>
          <cell r="B643" t="str">
            <v>VAR_fout</v>
          </cell>
          <cell r="C643" t="str">
            <v>TPBSu</v>
          </cell>
          <cell r="D643">
            <v>3.6838644048807013E-4</v>
          </cell>
          <cell r="E643">
            <v>6.3991276995695114E-4</v>
          </cell>
          <cell r="F643">
            <v>1.0132158467195639E-3</v>
          </cell>
          <cell r="G643">
            <v>3.9649406287470434E-2</v>
          </cell>
          <cell r="H643">
            <v>4.3140257604269108E-2</v>
          </cell>
          <cell r="I643">
            <v>4.6147466863829922E-2</v>
          </cell>
        </row>
        <row r="644">
          <cell r="A644" t="str">
            <v>T_B_u-BEVELC-S2</v>
          </cell>
          <cell r="B644" t="str">
            <v>VAR_fin</v>
          </cell>
          <cell r="C644" t="str">
            <v>T-ELC-Bus_u_BatSTGout_S2</v>
          </cell>
          <cell r="D644">
            <v>1.3387073797018203E-3</v>
          </cell>
          <cell r="E644">
            <v>2.3076505800153184E-3</v>
          </cell>
          <cell r="F644">
            <v>3.5538341028688984E-3</v>
          </cell>
          <cell r="G644">
            <v>0.12238296373575498</v>
          </cell>
          <cell r="H644">
            <v>0.12561650928258078</v>
          </cell>
          <cell r="I644">
            <v>0.12077926334246364</v>
          </cell>
        </row>
        <row r="645">
          <cell r="A645" t="str">
            <v>T_B_u-BEVELC-S2</v>
          </cell>
          <cell r="B645" t="str">
            <v>VAR_ncap</v>
          </cell>
          <cell r="C645" t="str">
            <v>-</v>
          </cell>
          <cell r="E645">
            <v>1.2030894855626999E-6</v>
          </cell>
          <cell r="F645">
            <v>7.0051666716655597E-6</v>
          </cell>
          <cell r="G645">
            <v>7.3928352592409396E-4</v>
          </cell>
          <cell r="H645">
            <v>1.03618430515423E-4</v>
          </cell>
          <cell r="I645">
            <v>6.9391546054259996E-4</v>
          </cell>
        </row>
        <row r="646">
          <cell r="A646" t="str">
            <v>T_B_u-BEVELC-S2</v>
          </cell>
          <cell r="B646" t="str">
            <v>VAR_cap</v>
          </cell>
          <cell r="C646" t="str">
            <v>-</v>
          </cell>
          <cell r="D646">
            <v>7.8302879411518514E-6</v>
          </cell>
          <cell r="E646">
            <v>1.20736942675599E-5</v>
          </cell>
          <cell r="F646">
            <v>1.9078860939225458E-5</v>
          </cell>
          <cell r="G646">
            <v>7.483064996581894E-4</v>
          </cell>
          <cell r="H646">
            <v>8.1380833181511202E-4</v>
          </cell>
          <cell r="I646">
            <v>8.7038108484012824E-4</v>
          </cell>
        </row>
        <row r="647">
          <cell r="A647" t="str">
            <v>TFHGV-ICEDSL</v>
          </cell>
          <cell r="B647" t="str">
            <v>VAR_fout</v>
          </cell>
          <cell r="C647" t="str">
            <v>CO2_T</v>
          </cell>
          <cell r="D647">
            <v>381.15784099567196</v>
          </cell>
          <cell r="E647">
            <v>446.83505482160052</v>
          </cell>
          <cell r="F647">
            <v>350.63105873772264</v>
          </cell>
          <cell r="G647">
            <v>32.307510126187459</v>
          </cell>
          <cell r="H647">
            <v>3.8071212156631104E-2</v>
          </cell>
          <cell r="I647">
            <v>3.6655755629162201E-3</v>
          </cell>
        </row>
        <row r="648">
          <cell r="A648" t="str">
            <v>TFHGV-ICEDSL</v>
          </cell>
          <cell r="B648" t="str">
            <v>VAR_fout</v>
          </cell>
          <cell r="C648" t="str">
            <v>TFHGV</v>
          </cell>
          <cell r="D648">
            <v>0.61725478145914026</v>
          </cell>
          <cell r="E648">
            <v>0.72361380102192874</v>
          </cell>
          <cell r="F648">
            <v>0.56781908767396183</v>
          </cell>
          <cell r="G648">
            <v>5.2319440813117658E-2</v>
          </cell>
          <cell r="H648">
            <v>6.1653297432474159E-5</v>
          </cell>
          <cell r="I648">
            <v>5.936107826351938E-6</v>
          </cell>
        </row>
        <row r="649">
          <cell r="A649" t="str">
            <v>TFHGV-ICEDSL</v>
          </cell>
          <cell r="B649" t="str">
            <v>VAR_fin</v>
          </cell>
          <cell r="C649" t="str">
            <v>TDSL</v>
          </cell>
          <cell r="D649">
            <v>5.1999705456435494</v>
          </cell>
          <cell r="E649">
            <v>6.0959761912905917</v>
          </cell>
          <cell r="F649">
            <v>4.783506940487344</v>
          </cell>
          <cell r="G649">
            <v>0.44075730049368939</v>
          </cell>
          <cell r="H649">
            <v>5.1938897894448902E-4</v>
          </cell>
          <cell r="I649">
            <v>5.0007852154382266E-5</v>
          </cell>
        </row>
        <row r="650">
          <cell r="A650" t="str">
            <v>TFHGV-ICEDSL</v>
          </cell>
          <cell r="B650" t="str">
            <v>VAR_ncap</v>
          </cell>
          <cell r="C650" t="str">
            <v>-</v>
          </cell>
          <cell r="E650">
            <v>6.6732662186604699E-7</v>
          </cell>
          <cell r="F650">
            <v>2.8300654305750498E-6</v>
          </cell>
          <cell r="G650">
            <v>2.78004089550412E-6</v>
          </cell>
          <cell r="H650">
            <v>7.70828798566276E-7</v>
          </cell>
        </row>
        <row r="651">
          <cell r="A651" t="str">
            <v>TFHGV-ICEDSL</v>
          </cell>
          <cell r="B651" t="str">
            <v>VAR_cap</v>
          </cell>
          <cell r="C651" t="str">
            <v>-</v>
          </cell>
          <cell r="D651">
            <v>1.1613490109427475E-2</v>
          </cell>
          <cell r="E651">
            <v>1.3613075223808989E-2</v>
          </cell>
          <cell r="F651">
            <v>1.0684144154647208E-2</v>
          </cell>
          <cell r="G651">
            <v>9.8494114256572206E-4</v>
          </cell>
          <cell r="H651">
            <v>1.3691503050129799E-6</v>
          </cell>
          <cell r="I651">
            <v>1.3527169469923901E-7</v>
          </cell>
        </row>
        <row r="652">
          <cell r="A652" t="str">
            <v>D-T-ELC-Bus_u_S1</v>
          </cell>
          <cell r="B652" t="str">
            <v>VAR_fout</v>
          </cell>
          <cell r="C652" t="str">
            <v>T-ELC-Bus_u_BatSTGin_S1</v>
          </cell>
          <cell r="D652">
            <v>1.0636768936296583E-5</v>
          </cell>
          <cell r="E652">
            <v>9.5495625620332556E-4</v>
          </cell>
          <cell r="F652">
            <v>1.8202640529796908E-3</v>
          </cell>
          <cell r="G652">
            <v>0.2369791261298605</v>
          </cell>
          <cell r="H652">
            <v>0.25108936164652368</v>
          </cell>
          <cell r="I652">
            <v>0.24189155199809467</v>
          </cell>
        </row>
        <row r="653">
          <cell r="A653" t="str">
            <v>D-T-ELC-Bus_u_S1</v>
          </cell>
          <cell r="B653" t="str">
            <v>VAR_fin</v>
          </cell>
          <cell r="C653" t="str">
            <v>TELC</v>
          </cell>
          <cell r="D653">
            <v>1.0636768936296583E-5</v>
          </cell>
          <cell r="E653">
            <v>9.5495625620332556E-4</v>
          </cell>
          <cell r="F653">
            <v>1.8202640529796908E-3</v>
          </cell>
          <cell r="G653">
            <v>0.2369791261298605</v>
          </cell>
          <cell r="H653">
            <v>0.25108936164652368</v>
          </cell>
          <cell r="I653">
            <v>0.24189155199809467</v>
          </cell>
        </row>
        <row r="654">
          <cell r="A654" t="str">
            <v>D-T-ELC-Bus_u_S1</v>
          </cell>
          <cell r="B654" t="str">
            <v>VAR_ncap</v>
          </cell>
          <cell r="C654" t="str">
            <v>-</v>
          </cell>
          <cell r="D654">
            <v>7.6556631494360903E-5</v>
          </cell>
          <cell r="E654">
            <v>7.5238438659286494E-5</v>
          </cell>
          <cell r="F654">
            <v>1.6097938339025599E-4</v>
          </cell>
          <cell r="G654">
            <v>2.4766349856611199E-2</v>
          </cell>
          <cell r="H654">
            <v>2.1396776476401799E-2</v>
          </cell>
          <cell r="I654">
            <v>1.4704113151898599E-2</v>
          </cell>
        </row>
        <row r="655">
          <cell r="A655" t="str">
            <v>D-T-ELC-Bus_u_S1</v>
          </cell>
          <cell r="B655" t="str">
            <v>VAR_cap</v>
          </cell>
          <cell r="C655" t="str">
            <v>-</v>
          </cell>
          <cell r="D655">
            <v>7.6556631494360903E-5</v>
          </cell>
          <cell r="E655">
            <v>1.51795070153647E-4</v>
          </cell>
          <cell r="F655">
            <v>3.1277445354390402E-4</v>
          </cell>
          <cell r="G655">
            <v>2.5048615168399499E-2</v>
          </cell>
          <cell r="H655">
            <v>2.6539923538615499E-2</v>
          </cell>
          <cell r="I655">
            <v>2.5567464008703002E-2</v>
          </cell>
        </row>
        <row r="656">
          <cell r="A656" t="str">
            <v>T-Plg-DSL-mix_S1</v>
          </cell>
          <cell r="B656" t="str">
            <v>VAR_fout</v>
          </cell>
          <cell r="C656" t="str">
            <v>CO2_T</v>
          </cell>
          <cell r="D656">
            <v>1.27095510511162E-3</v>
          </cell>
          <cell r="E656">
            <v>2.8011622911162402E-2</v>
          </cell>
          <cell r="F656">
            <v>4.1254529064439001E-2</v>
          </cell>
          <cell r="G656">
            <v>5.2124064351571582E-2</v>
          </cell>
          <cell r="H656">
            <v>2.7802099707402682E-2</v>
          </cell>
          <cell r="I656">
            <v>3.9349992532352702E-3</v>
          </cell>
        </row>
        <row r="657">
          <cell r="A657" t="str">
            <v>T-Plg-DSL-mix_S1</v>
          </cell>
          <cell r="B657" t="str">
            <v>VAR_fout</v>
          </cell>
          <cell r="C657" t="str">
            <v>T-PEVmix-ELC_DSL_S1</v>
          </cell>
          <cell r="D657">
            <v>1.2629890009575559E-5</v>
          </cell>
          <cell r="E657">
            <v>2.7836051402194682E-4</v>
          </cell>
          <cell r="F657">
            <v>4.0995953545892074E-4</v>
          </cell>
          <cell r="G657">
            <v>5.179736065929507E-4</v>
          </cell>
          <cell r="H657">
            <v>2.850504322052498E-4</v>
          </cell>
          <cell r="I657">
            <v>4.2519340296719823E-5</v>
          </cell>
        </row>
        <row r="658">
          <cell r="A658" t="str">
            <v>T-Plg-DSL-mix_S1</v>
          </cell>
          <cell r="B658" t="str">
            <v>VAR_fin</v>
          </cell>
          <cell r="C658" t="str">
            <v>TDSL</v>
          </cell>
          <cell r="D658">
            <v>1.7339087382150318E-5</v>
          </cell>
          <cell r="E658">
            <v>3.8215038077984211E-4</v>
          </cell>
          <cell r="F658">
            <v>5.6281758614514378E-4</v>
          </cell>
          <cell r="G658">
            <v>7.1110592566946227E-4</v>
          </cell>
          <cell r="H658">
            <v>3.7929194689498893E-4</v>
          </cell>
          <cell r="I658">
            <v>5.3683482308803174E-5</v>
          </cell>
        </row>
        <row r="659">
          <cell r="A659" t="str">
            <v>T_B_u-BEVELC-S3</v>
          </cell>
          <cell r="B659" t="str">
            <v>VAR_fout</v>
          </cell>
          <cell r="C659" t="str">
            <v>TPBSu</v>
          </cell>
          <cell r="D659">
            <v>8.3679973813060248E-4</v>
          </cell>
          <cell r="E659">
            <v>1.8571293376418926E-3</v>
          </cell>
          <cell r="F659">
            <v>2.1506930025676206E-3</v>
          </cell>
          <cell r="G659">
            <v>0.17328314757642357</v>
          </cell>
          <cell r="H659">
            <v>0.18853423445854145</v>
          </cell>
          <cell r="I659">
            <v>0.20167941273952347</v>
          </cell>
        </row>
        <row r="660">
          <cell r="A660" t="str">
            <v>T_B_u-BEVELC-S3</v>
          </cell>
          <cell r="B660" t="str">
            <v>VAR_fin</v>
          </cell>
          <cell r="C660" t="str">
            <v>T-ELC-Bus_u_BatSTGout_S3</v>
          </cell>
          <cell r="D660">
            <v>4.5734157300963921E-3</v>
          </cell>
          <cell r="E660">
            <v>1.0077324805147943E-2</v>
          </cell>
          <cell r="F660">
            <v>1.1551915930278345E-2</v>
          </cell>
          <cell r="G660">
            <v>0.80274371980268666</v>
          </cell>
          <cell r="H660">
            <v>0.80096572274018296</v>
          </cell>
          <cell r="I660">
            <v>0.7857539591992081</v>
          </cell>
        </row>
        <row r="661">
          <cell r="A661" t="str">
            <v>T_B_u-BEVELC-S3</v>
          </cell>
          <cell r="B661" t="str">
            <v>VAR_ncap</v>
          </cell>
          <cell r="C661" t="str">
            <v>-</v>
          </cell>
          <cell r="E661">
            <v>6.1969473821377105E-7</v>
          </cell>
          <cell r="F661">
            <v>5.3938685979696203E-6</v>
          </cell>
          <cell r="G661">
            <v>3.5033620450781598E-3</v>
          </cell>
          <cell r="H661">
            <v>2.4541414242088902E-3</v>
          </cell>
          <cell r="I661">
            <v>2.9625724311669699E-3</v>
          </cell>
        </row>
        <row r="662">
          <cell r="A662" t="str">
            <v>T_B_u-BEVELC-S3</v>
          </cell>
          <cell r="B662" t="str">
            <v>VAR_cap</v>
          </cell>
          <cell r="C662" t="str">
            <v>-</v>
          </cell>
          <cell r="D662">
            <v>2.13745744421299E-5</v>
          </cell>
          <cell r="E662">
            <v>3.4964524795050169E-5</v>
          </cell>
          <cell r="F662">
            <v>4.0395810810165687E-5</v>
          </cell>
          <cell r="G662">
            <v>3.5244364406097897E-3</v>
          </cell>
          <cell r="H662">
            <v>3.5553233604161002E-3</v>
          </cell>
          <cell r="I662">
            <v>3.8031680114739399E-3</v>
          </cell>
        </row>
        <row r="663">
          <cell r="A663" t="str">
            <v>D-T-ELC-Bus_u_S2</v>
          </cell>
          <cell r="B663" t="str">
            <v>VAR_fout</v>
          </cell>
          <cell r="C663" t="str">
            <v>T-ELC-Bus_u_BatSTGin_S2</v>
          </cell>
          <cell r="D663">
            <v>1.323114235623337E-3</v>
          </cell>
          <cell r="E663">
            <v>2.3134595539090496E-3</v>
          </cell>
          <cell r="F663">
            <v>3.5512945518018399E-3</v>
          </cell>
          <cell r="G663">
            <v>0.122459265787388</v>
          </cell>
          <cell r="H663">
            <v>0.12571674627868196</v>
          </cell>
          <cell r="I663">
            <v>0.12086651745604701</v>
          </cell>
        </row>
        <row r="664">
          <cell r="A664" t="str">
            <v>D-T-ELC-Bus_u_S2</v>
          </cell>
          <cell r="B664" t="str">
            <v>VAR_fin</v>
          </cell>
          <cell r="C664" t="str">
            <v>TELC</v>
          </cell>
          <cell r="D664">
            <v>1.323114235623337E-3</v>
          </cell>
          <cell r="E664">
            <v>2.3134595539090496E-3</v>
          </cell>
          <cell r="F664">
            <v>3.5512945518018399E-3</v>
          </cell>
          <cell r="G664">
            <v>0.122459265787388</v>
          </cell>
          <cell r="H664">
            <v>0.12571674627868196</v>
          </cell>
          <cell r="I664">
            <v>0.12086651745604701</v>
          </cell>
        </row>
        <row r="665">
          <cell r="A665" t="str">
            <v>D-T-ELC-Bus_u_S2</v>
          </cell>
          <cell r="B665" t="str">
            <v>VAR_ncap</v>
          </cell>
          <cell r="C665" t="str">
            <v>-</v>
          </cell>
          <cell r="D665">
            <v>1.5893238394867101E-4</v>
          </cell>
          <cell r="E665">
            <v>1.15290852538031E-4</v>
          </cell>
          <cell r="F665">
            <v>1.8382809697462199E-4</v>
          </cell>
          <cell r="G665">
            <v>1.25441439014041E-2</v>
          </cell>
          <cell r="H665">
            <v>1.0812389106992899E-2</v>
          </cell>
          <cell r="I665">
            <v>7.3082153550550599E-3</v>
          </cell>
        </row>
        <row r="666">
          <cell r="A666" t="str">
            <v>D-T-ELC-Bus_u_S2</v>
          </cell>
          <cell r="B666" t="str">
            <v>VAR_cap</v>
          </cell>
          <cell r="C666" t="str">
            <v>-</v>
          </cell>
          <cell r="D666">
            <v>1.5893238394867101E-4</v>
          </cell>
          <cell r="E666">
            <v>2.74223236486702E-4</v>
          </cell>
          <cell r="F666">
            <v>4.5805133346132399E-4</v>
          </cell>
          <cell r="G666">
            <v>1.2944277649753699E-2</v>
          </cell>
          <cell r="H666">
            <v>1.32884019034468E-2</v>
          </cell>
          <cell r="I666">
            <v>1.2775289619164701E-2</v>
          </cell>
        </row>
        <row r="667">
          <cell r="A667" t="str">
            <v>T-Plg-DSL-mix_S2</v>
          </cell>
          <cell r="B667" t="str">
            <v>VAR_fout</v>
          </cell>
          <cell r="C667" t="str">
            <v>CO2_T</v>
          </cell>
          <cell r="D667">
            <v>8.0207531541582103E-4</v>
          </cell>
          <cell r="E667">
            <v>2.91137256720988E-2</v>
          </cell>
          <cell r="F667">
            <v>0.1108995976913124</v>
          </cell>
          <cell r="G667">
            <v>0.34155061076348092</v>
          </cell>
          <cell r="H667">
            <v>0.127201993515004</v>
          </cell>
          <cell r="I667">
            <v>1.1795356385798931E-2</v>
          </cell>
        </row>
        <row r="668">
          <cell r="A668" t="str">
            <v>T-Plg-DSL-mix_S2</v>
          </cell>
          <cell r="B668" t="str">
            <v>VAR_fout</v>
          </cell>
          <cell r="C668" t="str">
            <v>T-PEVmix-ELC_DSL_S2</v>
          </cell>
          <cell r="D668">
            <v>6.5164412886188142E-6</v>
          </cell>
          <cell r="E668">
            <v>2.3653375236567452E-4</v>
          </cell>
          <cell r="F668">
            <v>9.0100106984620219E-4</v>
          </cell>
          <cell r="G668">
            <v>2.7749195859222398E-3</v>
          </cell>
          <cell r="H668">
            <v>1.0769916721743199E-3</v>
          </cell>
          <cell r="I668">
            <v>1.0479639768200883E-4</v>
          </cell>
        </row>
        <row r="669">
          <cell r="A669" t="str">
            <v>T-Plg-DSL-mix_S2</v>
          </cell>
          <cell r="B669" t="str">
            <v>VAR_fin</v>
          </cell>
          <cell r="C669" t="str">
            <v>TDSL</v>
          </cell>
          <cell r="D669">
            <v>1.0942364466791553E-5</v>
          </cell>
          <cell r="E669">
            <v>3.971858891145811E-4</v>
          </cell>
          <cell r="F669">
            <v>1.5129549480397324E-3</v>
          </cell>
          <cell r="G669">
            <v>4.6596263405658984E-3</v>
          </cell>
          <cell r="H669">
            <v>1.7353614394952789E-3</v>
          </cell>
          <cell r="I669">
            <v>1.6091891385810276E-4</v>
          </cell>
        </row>
        <row r="670">
          <cell r="A670" t="str">
            <v>T_B_u-BEVELC-S4</v>
          </cell>
          <cell r="B670" t="str">
            <v>VAR_fout</v>
          </cell>
          <cell r="C670" t="str">
            <v>TPBSu</v>
          </cell>
          <cell r="D670">
            <v>2.1390031727137041E-5</v>
          </cell>
          <cell r="E670">
            <v>2.1157084252758288E-5</v>
          </cell>
          <cell r="F670">
            <v>3.1300566117412763E-5</v>
          </cell>
          <cell r="G670">
            <v>3.9020705924528382E-3</v>
          </cell>
          <cell r="H670">
            <v>9.0384478479902046E-6</v>
          </cell>
          <cell r="I670">
            <v>5.0479196020257254E-6</v>
          </cell>
        </row>
        <row r="671">
          <cell r="A671" t="str">
            <v>T_B_u-BEVELC-S4</v>
          </cell>
          <cell r="B671" t="str">
            <v>VAR_fin</v>
          </cell>
          <cell r="C671" t="str">
            <v>T-ELC-Bus_u_BatSTGout_S4</v>
          </cell>
          <cell r="D671">
            <v>1.7534666038241609E-4</v>
          </cell>
          <cell r="E671">
            <v>1.7058494392679878E-4</v>
          </cell>
          <cell r="F671">
            <v>2.4530480305545271E-4</v>
          </cell>
          <cell r="G671">
            <v>2.706306064288121E-2</v>
          </cell>
          <cell r="H671">
            <v>5.753931982681059E-5</v>
          </cell>
          <cell r="I671">
            <v>2.9492715453963426E-5</v>
          </cell>
        </row>
        <row r="672">
          <cell r="A672" t="str">
            <v>T_B_u-BEVELC-S4</v>
          </cell>
          <cell r="B672" t="str">
            <v>VAR_ncap</v>
          </cell>
          <cell r="C672" t="str">
            <v>-</v>
          </cell>
          <cell r="E672">
            <v>1.36516582054278E-7</v>
          </cell>
          <cell r="F672">
            <v>2.13999845794012E-7</v>
          </cell>
          <cell r="G672">
            <v>4.2613267215312398E-4</v>
          </cell>
          <cell r="H672">
            <v>2.1799195338811801E-7</v>
          </cell>
          <cell r="I672">
            <v>9.5044162841430902E-8</v>
          </cell>
        </row>
        <row r="673">
          <cell r="A673" t="str">
            <v>T_B_u-BEVELC-S4</v>
          </cell>
          <cell r="B673" t="str">
            <v>VAR_cap</v>
          </cell>
          <cell r="C673" t="str">
            <v>-</v>
          </cell>
          <cell r="D673">
            <v>2.9961176159862598E-7</v>
          </cell>
          <cell r="E673">
            <v>3.2440675443638794E-7</v>
          </cell>
          <cell r="F673">
            <v>5.1430260747999507E-7</v>
          </cell>
          <cell r="G673">
            <v>4.2635759807968494E-4</v>
          </cell>
          <cell r="H673">
            <v>2.8998993433651194E-7</v>
          </cell>
          <cell r="I673">
            <v>1.33299273470997E-7</v>
          </cell>
        </row>
        <row r="674">
          <cell r="A674" t="str">
            <v>D-TBDS1</v>
          </cell>
          <cell r="B674" t="str">
            <v>VAR_fout</v>
          </cell>
          <cell r="C674" t="str">
            <v>TDSL</v>
          </cell>
          <cell r="D674">
            <v>2.9715732484498276</v>
          </cell>
          <cell r="E674">
            <v>2.9709469121912515</v>
          </cell>
          <cell r="F674">
            <v>4.4826195098004025</v>
          </cell>
          <cell r="G674">
            <v>3.7292173172481129</v>
          </cell>
          <cell r="H674">
            <v>2.9717795783634537</v>
          </cell>
          <cell r="I674">
            <v>17.32729478682031</v>
          </cell>
        </row>
        <row r="675">
          <cell r="A675" t="str">
            <v>D-TBDS1</v>
          </cell>
          <cell r="B675" t="str">
            <v>VAR_fout</v>
          </cell>
          <cell r="C675" t="str">
            <v>TKER</v>
          </cell>
          <cell r="D675">
            <v>6.5229070311191399E-4</v>
          </cell>
          <cell r="E675">
            <v>1.73997403571819E-5</v>
          </cell>
          <cell r="F675">
            <v>7.6438918959694099E-4</v>
          </cell>
          <cell r="G675">
            <v>4.9707178097992397E-2</v>
          </cell>
          <cell r="H675">
            <v>8.2462582162234595E-4</v>
          </cell>
          <cell r="I675">
            <v>1.6907850943770599</v>
          </cell>
        </row>
        <row r="676">
          <cell r="A676" t="str">
            <v>D-TBDS1</v>
          </cell>
          <cell r="B676" t="str">
            <v>VAR_fin</v>
          </cell>
          <cell r="C676" t="str">
            <v>BDS</v>
          </cell>
          <cell r="D676">
            <v>3.0165561026453251</v>
          </cell>
          <cell r="E676">
            <v>3.0152762544789105</v>
          </cell>
          <cell r="F676">
            <v>4.5502549218691097</v>
          </cell>
          <cell r="G676">
            <v>3.8352826884072599</v>
          </cell>
          <cell r="H676">
            <v>3.0169311296117263</v>
          </cell>
          <cell r="I676">
            <v>19.301730381018928</v>
          </cell>
        </row>
        <row r="677">
          <cell r="A677" t="str">
            <v>D-T-ELC-Bus_u_S3</v>
          </cell>
          <cell r="B677" t="str">
            <v>VAR_fout</v>
          </cell>
          <cell r="C677" t="str">
            <v>T-ELC-Bus_u_BatSTGin_S3</v>
          </cell>
          <cell r="D677">
            <v>4.5177608150265038E-3</v>
          </cell>
          <cell r="E677">
            <v>1.0064023588442154E-2</v>
          </cell>
          <cell r="F677">
            <v>1.1512595960394646E-2</v>
          </cell>
          <cell r="G677">
            <v>0.80283634485220357</v>
          </cell>
          <cell r="H677">
            <v>0.80108545377593066</v>
          </cell>
          <cell r="I677">
            <v>0.78586680807620279</v>
          </cell>
        </row>
        <row r="678">
          <cell r="A678" t="str">
            <v>D-T-ELC-Bus_u_S3</v>
          </cell>
          <cell r="B678" t="str">
            <v>VAR_fin</v>
          </cell>
          <cell r="C678" t="str">
            <v>TELC</v>
          </cell>
          <cell r="D678">
            <v>4.5177608150265038E-3</v>
          </cell>
          <cell r="E678">
            <v>1.0064023588442154E-2</v>
          </cell>
          <cell r="F678">
            <v>1.1512595960394646E-2</v>
          </cell>
          <cell r="G678">
            <v>0.80283634485220357</v>
          </cell>
          <cell r="H678">
            <v>0.80108545377593066</v>
          </cell>
          <cell r="I678">
            <v>0.78586680807620279</v>
          </cell>
        </row>
        <row r="679">
          <cell r="A679" t="str">
            <v>D-T-ELC-Bus_u_S3</v>
          </cell>
          <cell r="B679" t="str">
            <v>VAR_ncap</v>
          </cell>
          <cell r="C679" t="str">
            <v>-</v>
          </cell>
          <cell r="D679">
            <v>4.7983698871546001E-4</v>
          </cell>
          <cell r="E679">
            <v>5.8785871671533597E-4</v>
          </cell>
          <cell r="F679">
            <v>1.5360648841876201E-4</v>
          </cell>
          <cell r="G679">
            <v>8.4141170946326602E-2</v>
          </cell>
          <cell r="H679">
            <v>6.1495511033785297E-2</v>
          </cell>
          <cell r="I679">
            <v>6.20017342717573E-2</v>
          </cell>
        </row>
        <row r="680">
          <cell r="A680" t="str">
            <v>D-T-ELC-Bus_u_S3</v>
          </cell>
          <cell r="B680" t="str">
            <v>VAR_cap</v>
          </cell>
          <cell r="C680" t="str">
            <v>-</v>
          </cell>
          <cell r="D680">
            <v>4.7983698871546001E-4</v>
          </cell>
          <cell r="E680">
            <v>1.0676957054307999E-3</v>
          </cell>
          <cell r="F680">
            <v>1.2213021938495599E-3</v>
          </cell>
          <cell r="G680">
            <v>8.4858915839315693E-2</v>
          </cell>
          <cell r="H680">
            <v>8.4673813895926195E-2</v>
          </cell>
          <cell r="I680">
            <v>8.3065253380230006E-2</v>
          </cell>
        </row>
        <row r="681">
          <cell r="A681" t="str">
            <v>T-Plg-DSL-mix_S3</v>
          </cell>
          <cell r="B681" t="str">
            <v>VAR_fout</v>
          </cell>
          <cell r="C681" t="str">
            <v>CO2_T</v>
          </cell>
          <cell r="D681">
            <v>7.7293991051419399E-3</v>
          </cell>
          <cell r="E681">
            <v>0.26907421749053095</v>
          </cell>
          <cell r="F681">
            <v>105.49082381165979</v>
          </cell>
          <cell r="G681">
            <v>356.56419863533972</v>
          </cell>
          <cell r="H681">
            <v>373.12985985896734</v>
          </cell>
          <cell r="I681">
            <v>42.239673480870955</v>
          </cell>
        </row>
        <row r="682">
          <cell r="A682" t="str">
            <v>T-Plg-DSL-mix_S3</v>
          </cell>
          <cell r="B682" t="str">
            <v>VAR_fout</v>
          </cell>
          <cell r="C682" t="str">
            <v>T-PEVmix-ELC_DSL_S3</v>
          </cell>
          <cell r="D682">
            <v>5.8374670564809863E-5</v>
          </cell>
          <cell r="E682">
            <v>2.0321267655909535E-3</v>
          </cell>
          <cell r="F682">
            <v>0.79669738926011258</v>
          </cell>
          <cell r="G682">
            <v>2.6928765544913786</v>
          </cell>
          <cell r="H682">
            <v>2.9845668199106008</v>
          </cell>
          <cell r="I682">
            <v>0.35672174073537782</v>
          </cell>
        </row>
        <row r="683">
          <cell r="A683" t="str">
            <v>T-Plg-DSL-mix_S3</v>
          </cell>
          <cell r="B683" t="str">
            <v>VAR_fin</v>
          </cell>
          <cell r="C683" t="str">
            <v>TDSL</v>
          </cell>
          <cell r="D683">
            <v>1.0544882817383283E-4</v>
          </cell>
          <cell r="E683">
            <v>3.6708624487111928E-3</v>
          </cell>
          <cell r="F683">
            <v>1.4391653998862188</v>
          </cell>
          <cell r="G683">
            <v>4.8644501860210054</v>
          </cell>
          <cell r="H683">
            <v>5.0904482927553563</v>
          </cell>
          <cell r="I683">
            <v>0.57625748268582433</v>
          </cell>
        </row>
        <row r="684">
          <cell r="A684" t="str">
            <v>D-T-ELC-Bus_u_S4</v>
          </cell>
          <cell r="B684" t="str">
            <v>VAR_fout</v>
          </cell>
          <cell r="C684" t="str">
            <v>T-ELC-Bus_u_BatSTGin_S4</v>
          </cell>
          <cell r="D684">
            <v>1.1334423982862311E-4</v>
          </cell>
          <cell r="E684">
            <v>1.59880224400607E-4</v>
          </cell>
          <cell r="F684">
            <v>2.352374347042647E-4</v>
          </cell>
          <cell r="G684">
            <v>2.7148905230573912E-2</v>
          </cell>
          <cell r="H684">
            <v>1.7616959549295659E-4</v>
          </cell>
          <cell r="I684">
            <v>1.167747872805148E-4</v>
          </cell>
        </row>
        <row r="685">
          <cell r="A685" t="str">
            <v>D-T-ELC-Bus_u_S4</v>
          </cell>
          <cell r="B685" t="str">
            <v>VAR_fin</v>
          </cell>
          <cell r="C685" t="str">
            <v>TELC</v>
          </cell>
          <cell r="D685">
            <v>1.1334423982862311E-4</v>
          </cell>
          <cell r="E685">
            <v>1.59880224400607E-4</v>
          </cell>
          <cell r="F685">
            <v>2.352374347042647E-4</v>
          </cell>
          <cell r="G685">
            <v>2.7148905230573912E-2</v>
          </cell>
          <cell r="H685">
            <v>1.7616959549295659E-4</v>
          </cell>
          <cell r="I685">
            <v>1.167747872805148E-4</v>
          </cell>
        </row>
        <row r="686">
          <cell r="A686" t="str">
            <v>D-T-ELC-Bus_u_S4</v>
          </cell>
          <cell r="B686" t="str">
            <v>VAR_ncap</v>
          </cell>
          <cell r="C686" t="str">
            <v>-</v>
          </cell>
          <cell r="D686">
            <v>5.3312060896340603E-5</v>
          </cell>
          <cell r="E686">
            <v>4.7134894987897601E-5</v>
          </cell>
          <cell r="F686">
            <v>6.6354509985237493E-5</v>
          </cell>
          <cell r="G686">
            <v>2.80109164029331E-3</v>
          </cell>
          <cell r="H686">
            <v>3.9477782658264297E-5</v>
          </cell>
          <cell r="I686">
            <v>1.47897064320466E-5</v>
          </cell>
        </row>
        <row r="687">
          <cell r="A687" t="str">
            <v>D-T-ELC-Bus_u_S4</v>
          </cell>
          <cell r="B687" t="str">
            <v>VAR_cap</v>
          </cell>
          <cell r="C687" t="str">
            <v>-</v>
          </cell>
          <cell r="D687">
            <v>5.3312060896340603E-5</v>
          </cell>
          <cell r="E687">
            <v>1.0044695588423799E-4</v>
          </cell>
          <cell r="F687">
            <v>1.66801465869476E-4</v>
          </cell>
          <cell r="G687">
            <v>2.8721429276205102E-3</v>
          </cell>
          <cell r="H687">
            <v>6.6636628079761001E-5</v>
          </cell>
          <cell r="I687">
            <v>2.1717608675818998E-5</v>
          </cell>
        </row>
        <row r="688">
          <cell r="A688" t="str">
            <v>T_C-FC-H2O-S1</v>
          </cell>
          <cell r="B688" t="str">
            <v>VAR_fout</v>
          </cell>
          <cell r="C688" t="str">
            <v>TPCAR</v>
          </cell>
          <cell r="E688">
            <v>1.048892997541683E-5</v>
          </cell>
          <cell r="F688">
            <v>1.6435510056731972E-5</v>
          </cell>
          <cell r="G688">
            <v>8.0286675103430831E-6</v>
          </cell>
          <cell r="H688">
            <v>1.3369861783985455E-5</v>
          </cell>
          <cell r="I688">
            <v>1.0879438542429085E-5</v>
          </cell>
        </row>
        <row r="689">
          <cell r="A689" t="str">
            <v>T_C-FC-H2O-S1</v>
          </cell>
          <cell r="B689" t="str">
            <v>VAR_fin</v>
          </cell>
          <cell r="C689" t="str">
            <v>TH2O</v>
          </cell>
          <cell r="E689">
            <v>9.5652198891710862E-6</v>
          </cell>
          <cell r="F689">
            <v>1.4988112996442868E-5</v>
          </cell>
          <cell r="G689">
            <v>7.3216210169639882E-6</v>
          </cell>
          <cell r="H689">
            <v>1.1162937722552441E-5</v>
          </cell>
          <cell r="I689">
            <v>8.276046093827892E-6</v>
          </cell>
        </row>
        <row r="690">
          <cell r="A690" t="str">
            <v>T_C-FC-H2O-S1</v>
          </cell>
          <cell r="B690" t="str">
            <v>VAR_ncap</v>
          </cell>
          <cell r="C690" t="str">
            <v>-</v>
          </cell>
          <cell r="E690">
            <v>1.21871356999328E-6</v>
          </cell>
          <cell r="F690">
            <v>9.6251401012906209E-7</v>
          </cell>
          <cell r="G690">
            <v>4.2796563414311699E-7</v>
          </cell>
          <cell r="H690">
            <v>1.0148817598648101E-6</v>
          </cell>
          <cell r="I690">
            <v>1.03333092124289E-6</v>
          </cell>
        </row>
        <row r="691">
          <cell r="A691" t="str">
            <v>T_C-FC-H2O-S1</v>
          </cell>
          <cell r="B691" t="str">
            <v>VAR_cap</v>
          </cell>
          <cell r="C691" t="str">
            <v>-</v>
          </cell>
          <cell r="E691">
            <v>1.20248865231017E-6</v>
          </cell>
          <cell r="F691">
            <v>2.08335970208973E-6</v>
          </cell>
          <cell r="G691">
            <v>1.1268103754539298E-6</v>
          </cell>
          <cell r="H691">
            <v>1.9536485342871801E-6</v>
          </cell>
          <cell r="I691">
            <v>1.61071094278205E-6</v>
          </cell>
        </row>
        <row r="692">
          <cell r="A692" t="str">
            <v>T_B_c-ICEDSL-S1</v>
          </cell>
          <cell r="B692" t="str">
            <v>VAR_fout</v>
          </cell>
          <cell r="C692" t="str">
            <v>CO2_T</v>
          </cell>
          <cell r="D692">
            <v>8.3193904776364107</v>
          </cell>
          <cell r="E692">
            <v>22.539037358463212</v>
          </cell>
          <cell r="F692">
            <v>27.465343965979351</v>
          </cell>
          <cell r="H692">
            <v>8.3946898248419297E-4</v>
          </cell>
          <cell r="I692">
            <v>2.5921903251874002E-4</v>
          </cell>
        </row>
        <row r="693">
          <cell r="A693" t="str">
            <v>T_B_c-ICEDSL-S1</v>
          </cell>
          <cell r="B693" t="str">
            <v>VAR_fout</v>
          </cell>
          <cell r="C693" t="str">
            <v>TPBSc</v>
          </cell>
          <cell r="D693">
            <v>1.4064555825094834E-2</v>
          </cell>
          <cell r="E693">
            <v>3.8951760633843813E-2</v>
          </cell>
          <cell r="F693">
            <v>4.8051113012297912E-2</v>
          </cell>
          <cell r="H693">
            <v>1.8641863662984232E-6</v>
          </cell>
          <cell r="I693">
            <v>5.7564078767568049E-7</v>
          </cell>
        </row>
        <row r="694">
          <cell r="A694" t="str">
            <v>T_B_c-ICEDSL-S1</v>
          </cell>
          <cell r="B694" t="str">
            <v>VAR_fin</v>
          </cell>
          <cell r="C694" t="str">
            <v>TDSL</v>
          </cell>
          <cell r="D694">
            <v>0.11349782370581755</v>
          </cell>
          <cell r="E694">
            <v>0.30749027774165405</v>
          </cell>
          <cell r="F694">
            <v>0.37469773487011399</v>
          </cell>
          <cell r="H694">
            <v>1.1452509992963064E-5</v>
          </cell>
          <cell r="I694">
            <v>3.5364124490960462E-6</v>
          </cell>
        </row>
        <row r="695">
          <cell r="A695" t="str">
            <v>T_B_c-ICEDSL-S1</v>
          </cell>
          <cell r="B695" t="str">
            <v>VAR_ncap</v>
          </cell>
          <cell r="C695" t="str">
            <v>-</v>
          </cell>
          <cell r="E695">
            <v>4.8808741074296401E-4</v>
          </cell>
          <cell r="F695">
            <v>1.9753374434496799E-4</v>
          </cell>
          <cell r="H695">
            <v>5.11998696824314E-8</v>
          </cell>
        </row>
        <row r="696">
          <cell r="A696" t="str">
            <v>T_B_c-ICEDSL-S1</v>
          </cell>
          <cell r="B696" t="str">
            <v>VAR_cap</v>
          </cell>
          <cell r="C696" t="str">
            <v>-</v>
          </cell>
          <cell r="D696">
            <v>3.05805288461538E-4</v>
          </cell>
          <cell r="E696">
            <v>8.473209684673194E-4</v>
          </cell>
          <cell r="F696">
            <v>1.0449721166263929E-3</v>
          </cell>
          <cell r="G696">
            <v>-5.2849223749432822E-9</v>
          </cell>
          <cell r="H696">
            <v>4.2984483355439703E-8</v>
          </cell>
          <cell r="I696">
            <v>3.3901238437929702E-8</v>
          </cell>
        </row>
        <row r="697">
          <cell r="A697" t="str">
            <v>T-Plg-DSL-mix_S4</v>
          </cell>
          <cell r="B697" t="str">
            <v>VAR_fout</v>
          </cell>
          <cell r="C697" t="str">
            <v>CO2_T</v>
          </cell>
          <cell r="D697">
            <v>0.42440244876590999</v>
          </cell>
          <cell r="E697">
            <v>1.125636156851503</v>
          </cell>
          <cell r="F697">
            <v>1.3371767773626049</v>
          </cell>
          <cell r="G697">
            <v>2.770374032394606</v>
          </cell>
          <cell r="H697">
            <v>0.53375913936246167</v>
          </cell>
          <cell r="I697">
            <v>1.7534050969898282E-2</v>
          </cell>
        </row>
        <row r="698">
          <cell r="A698" t="str">
            <v>T-Plg-DSL-mix_S4</v>
          </cell>
          <cell r="B698" t="str">
            <v>VAR_fout</v>
          </cell>
          <cell r="C698" t="str">
            <v>T-PEVmix-ELC_DSL_S4</v>
          </cell>
          <cell r="D698">
            <v>3.0512884368417027E-3</v>
          </cell>
          <cell r="E698">
            <v>8.0928858904543849E-3</v>
          </cell>
          <cell r="F698">
            <v>9.6137806241317191E-3</v>
          </cell>
          <cell r="G698">
            <v>1.9917911113266792E-2</v>
          </cell>
          <cell r="H698">
            <v>4.0292237629855985E-3</v>
          </cell>
          <cell r="I698">
            <v>1.3746226069240745E-4</v>
          </cell>
        </row>
        <row r="699">
          <cell r="A699" t="str">
            <v>T-Plg-DSL-mix_S4</v>
          </cell>
          <cell r="B699" t="str">
            <v>VAR_fin</v>
          </cell>
          <cell r="C699" t="str">
            <v>TDSL</v>
          </cell>
          <cell r="D699">
            <v>5.789937909494002E-3</v>
          </cell>
          <cell r="E699">
            <v>1.5356564213526647E-2</v>
          </cell>
          <cell r="F699">
            <v>1.8242520837143322E-2</v>
          </cell>
          <cell r="G699">
            <v>3.7795007263227848E-2</v>
          </cell>
          <cell r="H699">
            <v>7.2818436475097035E-3</v>
          </cell>
          <cell r="I699">
            <v>2.3920942660161454E-4</v>
          </cell>
        </row>
        <row r="700">
          <cell r="A700" t="str">
            <v>T_C-FC-H2O-S2</v>
          </cell>
          <cell r="B700" t="str">
            <v>VAR_fout</v>
          </cell>
          <cell r="C700" t="str">
            <v>TPCAR</v>
          </cell>
          <cell r="D700">
            <v>7.2942499693076651E-5</v>
          </cell>
          <cell r="E700">
            <v>9.0081946705315128E-5</v>
          </cell>
          <cell r="F700">
            <v>9.407010691454155E-5</v>
          </cell>
          <cell r="G700">
            <v>2.2225115796421952E-5</v>
          </cell>
          <cell r="H700">
            <v>1.8266982485570589E-5</v>
          </cell>
          <cell r="I700">
            <v>1.780797644709961E-5</v>
          </cell>
        </row>
        <row r="701">
          <cell r="A701" t="str">
            <v>T_C-FC-H2O-S2</v>
          </cell>
          <cell r="B701" t="str">
            <v>VAR_fin</v>
          </cell>
          <cell r="C701" t="str">
            <v>TH2O</v>
          </cell>
          <cell r="D701">
            <v>8.1820406718595461E-5</v>
          </cell>
          <cell r="E701">
            <v>1.0104591354073506E-4</v>
          </cell>
          <cell r="F701">
            <v>1.0551947685088864E-4</v>
          </cell>
          <cell r="G701">
            <v>2.4930157610210426E-5</v>
          </cell>
          <cell r="H701">
            <v>1.8694137127647268E-5</v>
          </cell>
          <cell r="I701">
            <v>1.6472098605000183E-5</v>
          </cell>
        </row>
        <row r="702">
          <cell r="A702" t="str">
            <v>T_C-FC-H2O-S2</v>
          </cell>
          <cell r="B702" t="str">
            <v>VAR_ncap</v>
          </cell>
          <cell r="C702" t="str">
            <v>-</v>
          </cell>
          <cell r="E702">
            <v>6.9747723937668298E-7</v>
          </cell>
          <cell r="F702">
            <v>6.1658830011011605E-7</v>
          </cell>
          <cell r="G702">
            <v>3.7883500925392398E-7</v>
          </cell>
          <cell r="H702">
            <v>8.5337855340439902E-7</v>
          </cell>
          <cell r="I702">
            <v>1.04609537923708E-6</v>
          </cell>
        </row>
        <row r="703">
          <cell r="A703" t="str">
            <v>T_C-FC-H2O-S2</v>
          </cell>
          <cell r="B703" t="str">
            <v>VAR_cap</v>
          </cell>
          <cell r="C703" t="str">
            <v>-</v>
          </cell>
          <cell r="D703">
            <v>6.1970910157342798E-6</v>
          </cell>
          <cell r="E703">
            <v>7.0097365396045482E-6</v>
          </cell>
          <cell r="F703">
            <v>7.5905133384233304E-6</v>
          </cell>
          <cell r="G703">
            <v>1.6160765906128602E-6</v>
          </cell>
          <cell r="H703">
            <v>1.62882465913398E-6</v>
          </cell>
          <cell r="I703">
            <v>1.5041312573016701E-6</v>
          </cell>
        </row>
        <row r="704">
          <cell r="A704" t="str">
            <v>T_B_c-ICEDSL-S2</v>
          </cell>
          <cell r="B704" t="str">
            <v>VAR_fout</v>
          </cell>
          <cell r="C704" t="str">
            <v>CO2_T</v>
          </cell>
          <cell r="D704">
            <v>38.084604634481401</v>
          </cell>
          <cell r="E704">
            <v>29.247296250624053</v>
          </cell>
          <cell r="F704">
            <v>36.151149152519451</v>
          </cell>
          <cell r="H704">
            <v>1.35541036148089E-3</v>
          </cell>
          <cell r="I704">
            <v>4.5696976239278101E-4</v>
          </cell>
        </row>
        <row r="705">
          <cell r="A705" t="str">
            <v>T_B_c-ICEDSL-S2</v>
          </cell>
          <cell r="B705" t="str">
            <v>VAR_fout</v>
          </cell>
          <cell r="C705" t="str">
            <v>TPBSc</v>
          </cell>
          <cell r="D705">
            <v>4.5444777957953923E-2</v>
          </cell>
          <cell r="E705">
            <v>3.5037044149430686E-2</v>
          </cell>
          <cell r="F705">
            <v>4.32788496285368E-2</v>
          </cell>
          <cell r="H705">
            <v>2.0976044363848994E-6</v>
          </cell>
          <cell r="I705">
            <v>7.0719674877029127E-7</v>
          </cell>
        </row>
        <row r="706">
          <cell r="A706" t="str">
            <v>T_B_c-ICEDSL-S2</v>
          </cell>
          <cell r="B706" t="str">
            <v>VAR_fin</v>
          </cell>
          <cell r="C706" t="str">
            <v>TDSL</v>
          </cell>
          <cell r="D706">
            <v>0.51957168669142395</v>
          </cell>
          <cell r="E706">
            <v>0.39900813438777699</v>
          </cell>
          <cell r="F706">
            <v>0.49319439498662204</v>
          </cell>
          <cell r="H706">
            <v>1.8491273690053083E-5</v>
          </cell>
          <cell r="I706">
            <v>6.2342395960816028E-6</v>
          </cell>
        </row>
        <row r="707">
          <cell r="A707" t="str">
            <v>T_B_c-ICEDSL-S2</v>
          </cell>
          <cell r="B707" t="str">
            <v>VAR_ncap</v>
          </cell>
          <cell r="C707" t="str">
            <v>-</v>
          </cell>
          <cell r="E707">
            <v>3.9512151707381998E-7</v>
          </cell>
          <cell r="F707">
            <v>7.0564724903337897E-7</v>
          </cell>
          <cell r="H707">
            <v>5.4238719968346501E-8</v>
          </cell>
        </row>
        <row r="708">
          <cell r="A708" t="str">
            <v>T_B_c-ICEDSL-S2</v>
          </cell>
          <cell r="B708" t="str">
            <v>VAR_cap</v>
          </cell>
          <cell r="C708" t="str">
            <v>-</v>
          </cell>
          <cell r="D708">
            <v>9.8784375000000001E-4</v>
          </cell>
          <cell r="E708">
            <v>9.3969964944735375E-4</v>
          </cell>
          <cell r="F708">
            <v>9.405222722482211E-4</v>
          </cell>
          <cell r="G708">
            <v>-5.9059447666577614E-9</v>
          </cell>
          <cell r="H708">
            <v>3.7868376414977395E-8</v>
          </cell>
          <cell r="I708">
            <v>3.0714596333641703E-8</v>
          </cell>
        </row>
        <row r="709">
          <cell r="A709" t="str">
            <v>T_TW-FCLH2O-S1</v>
          </cell>
          <cell r="B709" t="str">
            <v>VAR_fout</v>
          </cell>
          <cell r="C709" t="str">
            <v>TPTWL</v>
          </cell>
          <cell r="G709">
            <v>8.6714285797996106E-5</v>
          </cell>
          <cell r="H709">
            <v>3.6542901979835866E-4</v>
          </cell>
          <cell r="I709">
            <v>3.2247604408073492E-4</v>
          </cell>
        </row>
        <row r="710">
          <cell r="A710" t="str">
            <v>T_TW-FCLH2O-S1</v>
          </cell>
          <cell r="B710" t="str">
            <v>VAR_fin</v>
          </cell>
          <cell r="C710" t="str">
            <v>TH2O</v>
          </cell>
          <cell r="G710">
            <v>1.8691976957677186E-5</v>
          </cell>
          <cell r="H710">
            <v>7.6971939377168302E-5</v>
          </cell>
          <cell r="I710">
            <v>6.6161637940535391E-5</v>
          </cell>
        </row>
        <row r="711">
          <cell r="A711" t="str">
            <v>T_TW-FCLH2O-S1</v>
          </cell>
          <cell r="B711" t="str">
            <v>VAR_ncap</v>
          </cell>
          <cell r="C711" t="str">
            <v>-</v>
          </cell>
          <cell r="G711">
            <v>3.2275031598585699E-5</v>
          </cell>
          <cell r="H711">
            <v>7.0313851561921905E-5</v>
          </cell>
          <cell r="I711">
            <v>8.0793810587086504E-5</v>
          </cell>
        </row>
        <row r="712">
          <cell r="A712" t="str">
            <v>T_TW-FCLH2O-S1</v>
          </cell>
          <cell r="B712" t="str">
            <v>VAR_cap</v>
          </cell>
          <cell r="C712" t="str">
            <v>-</v>
          </cell>
          <cell r="G712">
            <v>3.2275031598585699E-5</v>
          </cell>
          <cell r="H712">
            <v>1.401192410030213E-4</v>
          </cell>
          <cell r="I712">
            <v>1.2728176651649316E-4</v>
          </cell>
        </row>
        <row r="713">
          <cell r="A713" t="str">
            <v>D-T-ELC-TW_Bat_S1</v>
          </cell>
          <cell r="B713" t="str">
            <v>VAR_fout</v>
          </cell>
          <cell r="C713" t="str">
            <v>T-ELC-TWSTGin_S1</v>
          </cell>
          <cell r="D713">
            <v>1.5605535784365225E-3</v>
          </cell>
          <cell r="E713">
            <v>2.1186490635015046E-3</v>
          </cell>
          <cell r="F713">
            <v>2.1383312252963942E-3</v>
          </cell>
          <cell r="G713">
            <v>2.6440364095559922E-3</v>
          </cell>
          <cell r="H713">
            <v>2.0633731532975061E-3</v>
          </cell>
          <cell r="I713">
            <v>0.12158404808944659</v>
          </cell>
        </row>
        <row r="714">
          <cell r="A714" t="str">
            <v>D-T-ELC-TW_Bat_S1</v>
          </cell>
          <cell r="B714" t="str">
            <v>VAR_fin</v>
          </cell>
          <cell r="C714" t="str">
            <v>TELC</v>
          </cell>
          <cell r="D714">
            <v>1.5605535784365225E-3</v>
          </cell>
          <cell r="E714">
            <v>2.1186490635015046E-3</v>
          </cell>
          <cell r="F714">
            <v>2.1383312252963942E-3</v>
          </cell>
          <cell r="G714">
            <v>2.6440364095559922E-3</v>
          </cell>
          <cell r="H714">
            <v>2.0633731532975061E-3</v>
          </cell>
          <cell r="I714">
            <v>0.12158404808944659</v>
          </cell>
        </row>
        <row r="715">
          <cell r="A715" t="str">
            <v>D-T-ELC-TW_Bat_S1</v>
          </cell>
          <cell r="B715" t="str">
            <v>VAR_ncap</v>
          </cell>
          <cell r="C715" t="str">
            <v>-</v>
          </cell>
          <cell r="D715">
            <v>1.7519105052181199E-4</v>
          </cell>
          <cell r="E715">
            <v>5.2320668208822401E-5</v>
          </cell>
          <cell r="F715">
            <v>1.2722144768373999E-6</v>
          </cell>
          <cell r="G715">
            <v>1.0465656799698E-4</v>
          </cell>
          <cell r="H715">
            <v>1.3485601603978199E-5</v>
          </cell>
          <cell r="I715">
            <v>1.28119570229003E-2</v>
          </cell>
        </row>
        <row r="716">
          <cell r="A716" t="str">
            <v>D-T-ELC-TW_Bat_S1</v>
          </cell>
          <cell r="B716" t="str">
            <v>VAR_cap</v>
          </cell>
          <cell r="C716" t="str">
            <v>-</v>
          </cell>
          <cell r="D716">
            <v>1.7519105052181199E-4</v>
          </cell>
          <cell r="E716">
            <v>2.2751171873063399E-4</v>
          </cell>
          <cell r="F716">
            <v>2.28783933207472E-4</v>
          </cell>
          <cell r="G716">
            <v>2.7950392466289298E-4</v>
          </cell>
          <cell r="H716">
            <v>2.1859239603633999E-4</v>
          </cell>
          <cell r="I716">
            <v>1.28514610070547E-2</v>
          </cell>
        </row>
        <row r="717">
          <cell r="A717" t="str">
            <v>T_C-FC-H2O-S3</v>
          </cell>
          <cell r="B717" t="str">
            <v>VAR_fout</v>
          </cell>
          <cell r="C717" t="str">
            <v>TPCAR</v>
          </cell>
          <cell r="D717">
            <v>6.3316083642709774E-4</v>
          </cell>
          <cell r="E717">
            <v>1.5528427056149625E-3</v>
          </cell>
          <cell r="F717">
            <v>1.4747108345467171E-3</v>
          </cell>
          <cell r="G717">
            <v>4.796169837021969E-5</v>
          </cell>
          <cell r="H717">
            <v>1.8473829074393242E-5</v>
          </cell>
          <cell r="I717">
            <v>2.1025533260952712E-5</v>
          </cell>
        </row>
        <row r="718">
          <cell r="A718" t="str">
            <v>T_C-FC-H2O-S3</v>
          </cell>
          <cell r="B718" t="str">
            <v>VAR_fin</v>
          </cell>
          <cell r="C718" t="str">
            <v>TH2O</v>
          </cell>
          <cell r="D718">
            <v>7.6283971912422736E-4</v>
          </cell>
          <cell r="E718">
            <v>1.8708833920934053E-3</v>
          </cell>
          <cell r="F718">
            <v>1.7767491829773089E-3</v>
          </cell>
          <cell r="G718">
            <v>5.7784825605953287E-5</v>
          </cell>
          <cell r="H718">
            <v>2.0270736902033565E-5</v>
          </cell>
          <cell r="I718">
            <v>2.0776939230655129E-5</v>
          </cell>
        </row>
        <row r="719">
          <cell r="A719" t="str">
            <v>T_C-FC-H2O-S3</v>
          </cell>
          <cell r="B719" t="str">
            <v>VAR_ncap</v>
          </cell>
          <cell r="C719" t="str">
            <v>-</v>
          </cell>
          <cell r="E719">
            <v>5.6537383200195703E-7</v>
          </cell>
          <cell r="F719">
            <v>4.3983698368325501E-7</v>
          </cell>
          <cell r="G719">
            <v>2.91622570712664E-7</v>
          </cell>
          <cell r="H719">
            <v>7.2467923918047095E-7</v>
          </cell>
          <cell r="I719">
            <v>1.0713819400449399E-6</v>
          </cell>
        </row>
        <row r="720">
          <cell r="A720" t="str">
            <v>T_C-FC-H2O-S3</v>
          </cell>
          <cell r="B720" t="str">
            <v>VAR_cap</v>
          </cell>
          <cell r="C720" t="str">
            <v>-</v>
          </cell>
          <cell r="D720">
            <v>5.337463468442779E-5</v>
          </cell>
          <cell r="E720">
            <v>1.0861547802986144E-4</v>
          </cell>
          <cell r="F720">
            <v>1.0383021704365728E-4</v>
          </cell>
          <cell r="G720">
            <v>2.8397872265969841E-6</v>
          </cell>
          <cell r="H720">
            <v>1.3417582385676399E-6</v>
          </cell>
          <cell r="I720">
            <v>1.4268051434534599E-6</v>
          </cell>
        </row>
        <row r="721">
          <cell r="A721" t="str">
            <v>T_B_c-ICEDSL-S3</v>
          </cell>
          <cell r="B721" t="str">
            <v>VAR_fout</v>
          </cell>
          <cell r="C721" t="str">
            <v>CO2_T</v>
          </cell>
          <cell r="D721">
            <v>11.733481561127061</v>
          </cell>
          <cell r="E721">
            <v>9.4327932915772656</v>
          </cell>
          <cell r="F721">
            <v>11.648710763480226</v>
          </cell>
        </row>
        <row r="722">
          <cell r="A722" t="str">
            <v>T_B_c-ICEDSL-S3</v>
          </cell>
          <cell r="B722" t="str">
            <v>VAR_fout</v>
          </cell>
          <cell r="C722" t="str">
            <v>TPBSc</v>
          </cell>
          <cell r="D722">
            <v>9.2762580914895528E-3</v>
          </cell>
          <cell r="E722">
            <v>7.4865391326663245E-3</v>
          </cell>
          <cell r="F722">
            <v>9.2396191285193247E-3</v>
          </cell>
        </row>
        <row r="723">
          <cell r="A723" t="str">
            <v>T_B_c-ICEDSL-S3</v>
          </cell>
          <cell r="B723" t="str">
            <v>VAR_fin</v>
          </cell>
          <cell r="C723" t="str">
            <v>TDSL</v>
          </cell>
          <cell r="D723">
            <v>0.16007478255289301</v>
          </cell>
          <cell r="E723">
            <v>0.12868749374593799</v>
          </cell>
          <cell r="F723">
            <v>0.15891829145266353</v>
          </cell>
        </row>
        <row r="724">
          <cell r="A724" t="str">
            <v>T_B_c-ICEDSL-S3</v>
          </cell>
          <cell r="B724" t="str">
            <v>VAR_ncap</v>
          </cell>
          <cell r="C724" t="str">
            <v>-</v>
          </cell>
          <cell r="E724">
            <v>1.59813701055366E-7</v>
          </cell>
          <cell r="F724">
            <v>1.8378826271456801E-7</v>
          </cell>
        </row>
        <row r="725">
          <cell r="A725" t="str">
            <v>T_B_c-ICEDSL-S3</v>
          </cell>
          <cell r="B725" t="str">
            <v>VAR_cap</v>
          </cell>
          <cell r="C725" t="str">
            <v>-</v>
          </cell>
          <cell r="D725">
            <v>2.0197158912156526E-4</v>
          </cell>
          <cell r="E725">
            <v>2.0060262691795199E-4</v>
          </cell>
          <cell r="F725">
            <v>2.0084240144500052E-4</v>
          </cell>
          <cell r="G725">
            <v>-3.4163651599399469E-9</v>
          </cell>
        </row>
        <row r="726">
          <cell r="A726" t="str">
            <v>T_TW-FCLH2O-S2</v>
          </cell>
          <cell r="B726" t="str">
            <v>VAR_fout</v>
          </cell>
          <cell r="C726" t="str">
            <v>TPTWL</v>
          </cell>
          <cell r="G726">
            <v>4.5750803152680681E-5</v>
          </cell>
          <cell r="H726">
            <v>1.6571562532859179E-4</v>
          </cell>
          <cell r="I726">
            <v>1.2766893420080162E-4</v>
          </cell>
        </row>
        <row r="727">
          <cell r="A727" t="str">
            <v>T_TW-FCLH2O-S2</v>
          </cell>
          <cell r="B727" t="str">
            <v>VAR_fin</v>
          </cell>
          <cell r="C727" t="str">
            <v>TH2O</v>
          </cell>
          <cell r="G727">
            <v>1.6939178009531369E-5</v>
          </cell>
          <cell r="H727">
            <v>6.0219467010783663E-5</v>
          </cell>
          <cell r="I727">
            <v>4.5434882894643278E-5</v>
          </cell>
        </row>
        <row r="728">
          <cell r="A728" t="str">
            <v>T_TW-FCLH2O-S2</v>
          </cell>
          <cell r="B728" t="str">
            <v>VAR_ncap</v>
          </cell>
          <cell r="C728" t="str">
            <v>-</v>
          </cell>
          <cell r="G728">
            <v>1.7163969476531899E-5</v>
          </cell>
          <cell r="H728">
            <v>2.6024925915471099E-5</v>
          </cell>
          <cell r="I728">
            <v>2.26842384740794E-5</v>
          </cell>
        </row>
        <row r="729">
          <cell r="A729" t="str">
            <v>T_TW-FCLH2O-S2</v>
          </cell>
          <cell r="B729" t="str">
            <v>VAR_cap</v>
          </cell>
          <cell r="C729" t="str">
            <v>-</v>
          </cell>
          <cell r="G729">
            <v>1.7163969476531899E-5</v>
          </cell>
          <cell r="H729">
            <v>6.349776097024048E-5</v>
          </cell>
          <cell r="I729">
            <v>4.9452486718936795E-5</v>
          </cell>
        </row>
        <row r="730">
          <cell r="A730" t="str">
            <v>D-T-ELC-TW_Bat_S2</v>
          </cell>
          <cell r="B730" t="str">
            <v>VAR_fout</v>
          </cell>
          <cell r="C730" t="str">
            <v>T-ELC-TWSTGin_S2</v>
          </cell>
          <cell r="D730">
            <v>3.5829187778185859E-4</v>
          </cell>
          <cell r="E730">
            <v>4.5398057215853961E-4</v>
          </cell>
          <cell r="F730">
            <v>4.6133600171835193E-4</v>
          </cell>
          <cell r="G730">
            <v>2.0699615332223863E-3</v>
          </cell>
          <cell r="H730">
            <v>2.3972751549757769E-3</v>
          </cell>
          <cell r="I730">
            <v>1.8285323747595005E-3</v>
          </cell>
        </row>
        <row r="731">
          <cell r="A731" t="str">
            <v>D-T-ELC-TW_Bat_S2</v>
          </cell>
          <cell r="B731" t="str">
            <v>VAR_fin</v>
          </cell>
          <cell r="C731" t="str">
            <v>TELC</v>
          </cell>
          <cell r="D731">
            <v>3.5829187778185859E-4</v>
          </cell>
          <cell r="E731">
            <v>4.5398057215853961E-4</v>
          </cell>
          <cell r="F731">
            <v>4.6133600171835193E-4</v>
          </cell>
          <cell r="G731">
            <v>2.0699615332223863E-3</v>
          </cell>
          <cell r="H731">
            <v>2.3972751549757769E-3</v>
          </cell>
          <cell r="I731">
            <v>1.8285323747595005E-3</v>
          </cell>
        </row>
        <row r="732">
          <cell r="A732" t="str">
            <v>D-T-ELC-TW_Bat_S2</v>
          </cell>
          <cell r="B732" t="str">
            <v>VAR_ncap</v>
          </cell>
          <cell r="C732" t="str">
            <v>-</v>
          </cell>
          <cell r="D732">
            <v>7.0596053538606301E-5</v>
          </cell>
          <cell r="E732">
            <v>4.1642077897431699E-7</v>
          </cell>
          <cell r="F732">
            <v>5.14818480540725E-6</v>
          </cell>
          <cell r="G732">
            <v>1.4272107708022101E-4</v>
          </cell>
          <cell r="H732">
            <v>9.7814696607856793E-7</v>
          </cell>
          <cell r="I732">
            <v>1.3143008156668901E-4</v>
          </cell>
        </row>
        <row r="733">
          <cell r="A733" t="str">
            <v>D-T-ELC-TW_Bat_S2</v>
          </cell>
          <cell r="B733" t="str">
            <v>VAR_cap</v>
          </cell>
          <cell r="C733" t="str">
            <v>-</v>
          </cell>
          <cell r="D733">
            <v>7.0596053538606301E-5</v>
          </cell>
          <cell r="E733">
            <v>7.1012474317580604E-5</v>
          </cell>
          <cell r="F733">
            <v>7.61606591229878E-5</v>
          </cell>
          <cell r="G733">
            <v>2.18881736203209E-4</v>
          </cell>
          <cell r="H733">
            <v>2.5397431385904001E-4</v>
          </cell>
          <cell r="I733">
            <v>1.93377795683625E-4</v>
          </cell>
        </row>
        <row r="734">
          <cell r="A734" t="str">
            <v>T_C-FC-H2O-S4</v>
          </cell>
          <cell r="B734" t="str">
            <v>VAR_fout</v>
          </cell>
          <cell r="C734" t="str">
            <v>TPCAR</v>
          </cell>
          <cell r="E734">
            <v>9.5838371419172219E-6</v>
          </cell>
          <cell r="F734">
            <v>1.660619924318833E-5</v>
          </cell>
          <cell r="G734">
            <v>1.5502162704883083E-5</v>
          </cell>
          <cell r="H734">
            <v>1.9019498484834887E-5</v>
          </cell>
          <cell r="I734">
            <v>2.2600970255330127E-5</v>
          </cell>
        </row>
        <row r="735">
          <cell r="A735" t="str">
            <v>T_C-FC-H2O-S4</v>
          </cell>
          <cell r="B735" t="str">
            <v>VAR_fin</v>
          </cell>
          <cell r="C735" t="str">
            <v>TH2O</v>
          </cell>
          <cell r="E735">
            <v>1.145360601335868E-5</v>
          </cell>
          <cell r="F735">
            <v>1.9846003296417134E-5</v>
          </cell>
          <cell r="G735">
            <v>1.8526573578773682E-5</v>
          </cell>
          <cell r="H735">
            <v>2.0801325078760869E-5</v>
          </cell>
          <cell r="I735">
            <v>2.2314610553271271E-5</v>
          </cell>
        </row>
        <row r="736">
          <cell r="A736" t="str">
            <v>T_C-FC-H2O-S4</v>
          </cell>
          <cell r="B736" t="str">
            <v>VAR_ncap</v>
          </cell>
          <cell r="C736" t="str">
            <v>-</v>
          </cell>
          <cell r="E736">
            <v>7.7153818912427401E-7</v>
          </cell>
          <cell r="F736">
            <v>5.6813800132213902E-7</v>
          </cell>
          <cell r="G736">
            <v>3.6746281621611303E-7</v>
          </cell>
          <cell r="H736">
            <v>9.4831338520246401E-7</v>
          </cell>
          <cell r="I736">
            <v>1.4999471127998101E-6</v>
          </cell>
        </row>
        <row r="737">
          <cell r="A737" t="str">
            <v>T_C-FC-H2O-S4</v>
          </cell>
          <cell r="B737" t="str">
            <v>VAR_cap</v>
          </cell>
          <cell r="C737" t="str">
            <v>-</v>
          </cell>
          <cell r="E737">
            <v>7.6126658477347897E-7</v>
          </cell>
          <cell r="F737">
            <v>1.2782669828660899E-6</v>
          </cell>
          <cell r="G737">
            <v>1.1977841144129719E-6</v>
          </cell>
          <cell r="H737">
            <v>1.7239152163437999E-6</v>
          </cell>
          <cell r="I737">
            <v>1.9431220106613198E-6</v>
          </cell>
        </row>
        <row r="738">
          <cell r="A738" t="str">
            <v>T_B_c-ICEDSL-S4</v>
          </cell>
          <cell r="B738" t="str">
            <v>VAR_fout</v>
          </cell>
          <cell r="C738" t="str">
            <v>CO2_T</v>
          </cell>
          <cell r="D738">
            <v>0.94823658567728253</v>
          </cell>
          <cell r="E738">
            <v>3.2830660150480768E-3</v>
          </cell>
          <cell r="F738">
            <v>8.3777924883151802E-3</v>
          </cell>
        </row>
        <row r="739">
          <cell r="A739" t="str">
            <v>T_B_c-ICEDSL-S4</v>
          </cell>
          <cell r="B739" t="str">
            <v>VAR_fout</v>
          </cell>
          <cell r="C739" t="str">
            <v>TPBSc</v>
          </cell>
          <cell r="D739">
            <v>4.9994553287514246E-4</v>
          </cell>
          <cell r="E739">
            <v>1.7412820315055867E-6</v>
          </cell>
          <cell r="F739">
            <v>4.4590682172236569E-6</v>
          </cell>
        </row>
        <row r="740">
          <cell r="A740" t="str">
            <v>T_B_c-ICEDSL-S4</v>
          </cell>
          <cell r="B740" t="str">
            <v>VAR_fin</v>
          </cell>
          <cell r="C740" t="str">
            <v>TDSL</v>
          </cell>
          <cell r="D740">
            <v>1.2936379067902886E-2</v>
          </cell>
          <cell r="E740">
            <v>4.478944086013748E-5</v>
          </cell>
          <cell r="F740">
            <v>1.1429457692108016E-4</v>
          </cell>
        </row>
        <row r="741">
          <cell r="A741" t="str">
            <v>T_B_c-ICEDSL-S4</v>
          </cell>
          <cell r="B741" t="str">
            <v>VAR_ncap</v>
          </cell>
          <cell r="C741" t="str">
            <v>-</v>
          </cell>
          <cell r="E741">
            <v>1.6917372960463101E-8</v>
          </cell>
          <cell r="F741">
            <v>1.8008300661072199E-8</v>
          </cell>
        </row>
        <row r="742">
          <cell r="A742" t="str">
            <v>T_B_c-ICEDSL-S4</v>
          </cell>
          <cell r="B742" t="str">
            <v>VAR_cap</v>
          </cell>
          <cell r="C742" t="str">
            <v>-</v>
          </cell>
          <cell r="D742">
            <v>1.1130968308435204E-5</v>
          </cell>
          <cell r="E742">
            <v>1.1948354051616355E-7</v>
          </cell>
          <cell r="F742">
            <v>1.8231099828523603E-7</v>
          </cell>
          <cell r="G742">
            <v>-5.9571834991393969E-9</v>
          </cell>
        </row>
        <row r="743">
          <cell r="A743" t="str">
            <v>D-T-ELC-HGV</v>
          </cell>
          <cell r="B743" t="str">
            <v>VAR_fout</v>
          </cell>
          <cell r="C743" t="str">
            <v>T-ELC-HGV_BatSTGin</v>
          </cell>
          <cell r="D743">
            <v>9.5675178379100931E-3</v>
          </cell>
          <cell r="E743">
            <v>2.1782595270856693E-2</v>
          </cell>
          <cell r="F743">
            <v>2.1443900028054307E-2</v>
          </cell>
          <cell r="G743">
            <v>5.9480698678122433E-3</v>
          </cell>
          <cell r="H743">
            <v>2.4918070046191754</v>
          </cell>
          <cell r="I743">
            <v>7.8073084706370972</v>
          </cell>
        </row>
        <row r="744">
          <cell r="A744" t="str">
            <v>D-T-ELC-HGV</v>
          </cell>
          <cell r="B744" t="str">
            <v>VAR_fin</v>
          </cell>
          <cell r="C744" t="str">
            <v>TELC</v>
          </cell>
          <cell r="D744">
            <v>9.5675178379100931E-3</v>
          </cell>
          <cell r="E744">
            <v>2.1782595270856693E-2</v>
          </cell>
          <cell r="F744">
            <v>2.1443900028054307E-2</v>
          </cell>
          <cell r="G744">
            <v>5.9480698678122433E-3</v>
          </cell>
          <cell r="H744">
            <v>2.4918070046191754</v>
          </cell>
          <cell r="I744">
            <v>7.8073084706370972</v>
          </cell>
        </row>
        <row r="745">
          <cell r="A745" t="str">
            <v>D-T-ELC-HGV</v>
          </cell>
          <cell r="B745" t="str">
            <v>VAR_ncap</v>
          </cell>
          <cell r="C745" t="str">
            <v>-</v>
          </cell>
          <cell r="D745">
            <v>1.26964532796217E-3</v>
          </cell>
          <cell r="E745">
            <v>1.5126976204892001E-3</v>
          </cell>
          <cell r="F745">
            <v>4.9869901693224101E-5</v>
          </cell>
          <cell r="G745">
            <v>7.9287982814527395E-5</v>
          </cell>
          <cell r="H745">
            <v>0.18723808370768499</v>
          </cell>
          <cell r="I745">
            <v>0.95303707260354997</v>
          </cell>
        </row>
        <row r="746">
          <cell r="A746" t="str">
            <v>D-T-ELC-HGV</v>
          </cell>
          <cell r="B746" t="str">
            <v>VAR_cap</v>
          </cell>
          <cell r="C746" t="str">
            <v>-</v>
          </cell>
          <cell r="D746">
            <v>1.26964532796217E-3</v>
          </cell>
          <cell r="E746">
            <v>2.7823429484513701E-3</v>
          </cell>
          <cell r="F746">
            <v>2.8322128501445999E-3</v>
          </cell>
          <cell r="G746">
            <v>7.7005904925220195E-4</v>
          </cell>
          <cell r="H746">
            <v>0.31308744094350599</v>
          </cell>
          <cell r="I746">
            <v>0.98589522858122702</v>
          </cell>
        </row>
        <row r="747">
          <cell r="A747" t="str">
            <v>T_TW-FCLH2O-S3</v>
          </cell>
          <cell r="B747" t="str">
            <v>VAR_fout</v>
          </cell>
          <cell r="C747" t="str">
            <v>TPTWL</v>
          </cell>
          <cell r="G747">
            <v>2.6352572968364494E-5</v>
          </cell>
          <cell r="H747">
            <v>8.6371022802202404E-5</v>
          </cell>
          <cell r="I747">
            <v>8.7745802022880828E-5</v>
          </cell>
        </row>
        <row r="748">
          <cell r="A748" t="str">
            <v>T_TW-FCLH2O-S3</v>
          </cell>
          <cell r="B748" t="str">
            <v>VAR_fin</v>
          </cell>
          <cell r="C748" t="str">
            <v>TH2O</v>
          </cell>
          <cell r="G748">
            <v>1.4967537496505025E-5</v>
          </cell>
          <cell r="H748">
            <v>4.8262329300940086E-5</v>
          </cell>
          <cell r="I748">
            <v>4.8137372562243931E-5</v>
          </cell>
        </row>
        <row r="749">
          <cell r="A749" t="str">
            <v>T_TW-FCLH2O-S3</v>
          </cell>
          <cell r="B749" t="str">
            <v>VAR_ncap</v>
          </cell>
          <cell r="C749" t="str">
            <v>-</v>
          </cell>
          <cell r="G749">
            <v>9.5592684290409996E-6</v>
          </cell>
          <cell r="H749">
            <v>1.06425969650933E-5</v>
          </cell>
          <cell r="I749">
            <v>1.0671931995382499E-5</v>
          </cell>
        </row>
        <row r="750">
          <cell r="A750" t="str">
            <v>T_TW-FCLH2O-S3</v>
          </cell>
          <cell r="B750" t="str">
            <v>VAR_cap</v>
          </cell>
          <cell r="C750" t="str">
            <v>-</v>
          </cell>
          <cell r="G750">
            <v>9.5592684290409996E-6</v>
          </cell>
          <cell r="H750">
            <v>3.2267418493034756E-5</v>
          </cell>
          <cell r="I750">
            <v>3.3422391009300729E-5</v>
          </cell>
        </row>
        <row r="751">
          <cell r="A751" t="str">
            <v>D-T-ELC-TW_Bat_S3</v>
          </cell>
          <cell r="B751" t="str">
            <v>VAR_fout</v>
          </cell>
          <cell r="C751" t="str">
            <v>T-ELC-TWSTGin_S3</v>
          </cell>
          <cell r="D751">
            <v>8.220486962710675E-5</v>
          </cell>
          <cell r="E751">
            <v>1.4749953635755913E-4</v>
          </cell>
          <cell r="F751">
            <v>1.5500728389631553E-4</v>
          </cell>
          <cell r="G751">
            <v>2.2269181845371517E-3</v>
          </cell>
          <cell r="H751">
            <v>4.256924291140469E-3</v>
          </cell>
          <cell r="I751">
            <v>2.6890441269703941E-3</v>
          </cell>
        </row>
        <row r="752">
          <cell r="A752" t="str">
            <v>D-T-ELC-TW_Bat_S3</v>
          </cell>
          <cell r="B752" t="str">
            <v>VAR_fin</v>
          </cell>
          <cell r="C752" t="str">
            <v>TELC</v>
          </cell>
          <cell r="D752">
            <v>8.220486962710675E-5</v>
          </cell>
          <cell r="E752">
            <v>1.4749953635755913E-4</v>
          </cell>
          <cell r="F752">
            <v>1.5500728389631553E-4</v>
          </cell>
          <cell r="G752">
            <v>2.2269181845371517E-3</v>
          </cell>
          <cell r="H752">
            <v>4.256924291140469E-3</v>
          </cell>
          <cell r="I752">
            <v>2.6890441269703941E-3</v>
          </cell>
        </row>
        <row r="753">
          <cell r="A753" t="str">
            <v>D-T-ELC-TW_Bat_S3</v>
          </cell>
          <cell r="B753" t="str">
            <v>VAR_ncap</v>
          </cell>
          <cell r="C753" t="str">
            <v>-</v>
          </cell>
          <cell r="D753">
            <v>7.2355486061275194E-5</v>
          </cell>
          <cell r="E753">
            <v>4.6531795331451199E-7</v>
          </cell>
          <cell r="F753">
            <v>1.41764368571356E-6</v>
          </cell>
          <cell r="G753">
            <v>1.6127019170914501E-4</v>
          </cell>
          <cell r="H753">
            <v>1.67704757238079E-6</v>
          </cell>
          <cell r="I753">
            <v>3.3216317566075001E-5</v>
          </cell>
        </row>
        <row r="754">
          <cell r="A754" t="str">
            <v>D-T-ELC-TW_Bat_S3</v>
          </cell>
          <cell r="B754" t="str">
            <v>VAR_cap</v>
          </cell>
          <cell r="C754" t="str">
            <v>-</v>
          </cell>
          <cell r="D754">
            <v>7.2355486061275194E-5</v>
          </cell>
          <cell r="E754">
            <v>7.2820804014589794E-5</v>
          </cell>
          <cell r="F754">
            <v>7.4238447700303306E-5</v>
          </cell>
          <cell r="G754">
            <v>2.3550863940944799E-4</v>
          </cell>
          <cell r="H754">
            <v>4.50495794404574E-4</v>
          </cell>
          <cell r="I754">
            <v>2.8446789056117602E-4</v>
          </cell>
        </row>
        <row r="755">
          <cell r="A755" t="str">
            <v>T_TW-FCLH2O-S4</v>
          </cell>
          <cell r="B755" t="str">
            <v>VAR_fout</v>
          </cell>
          <cell r="C755" t="str">
            <v>TPTWL</v>
          </cell>
          <cell r="G755">
            <v>1.2861556761869768E-5</v>
          </cell>
          <cell r="H755">
            <v>4.443495568169461E-5</v>
          </cell>
          <cell r="I755">
            <v>5.4380222807634184E-5</v>
          </cell>
        </row>
        <row r="756">
          <cell r="A756" t="str">
            <v>T_TW-FCLH2O-S4</v>
          </cell>
          <cell r="B756" t="str">
            <v>VAR_fin</v>
          </cell>
          <cell r="C756" t="str">
            <v>TH2O</v>
          </cell>
          <cell r="G756">
            <v>8.2338141518014016E-6</v>
          </cell>
          <cell r="H756">
            <v>2.7904196950511068E-5</v>
          </cell>
          <cell r="I756">
            <v>3.362432218734549E-5</v>
          </cell>
        </row>
        <row r="757">
          <cell r="A757" t="str">
            <v>T_TW-FCLH2O-S4</v>
          </cell>
          <cell r="B757" t="str">
            <v>VAR_ncap</v>
          </cell>
          <cell r="C757" t="str">
            <v>-</v>
          </cell>
          <cell r="G757">
            <v>4.4628216365727298E-6</v>
          </cell>
          <cell r="H757">
            <v>5.6138822114539797E-6</v>
          </cell>
          <cell r="I757">
            <v>5.3385941337655998E-6</v>
          </cell>
        </row>
        <row r="758">
          <cell r="A758" t="str">
            <v>T_TW-FCLH2O-S4</v>
          </cell>
          <cell r="B758" t="str">
            <v>VAR_cap</v>
          </cell>
          <cell r="C758" t="str">
            <v>-</v>
          </cell>
          <cell r="G758">
            <v>4.4628216365727298E-6</v>
          </cell>
          <cell r="H758">
            <v>1.59550028757322E-5</v>
          </cell>
          <cell r="I758">
            <v>1.9753561143422316E-5</v>
          </cell>
        </row>
        <row r="759">
          <cell r="A759" t="str">
            <v>D-T-ELC-TW_Bat_S4</v>
          </cell>
          <cell r="B759" t="str">
            <v>VAR_fout</v>
          </cell>
          <cell r="C759" t="str">
            <v>T-ELC-TWSTGin_S4</v>
          </cell>
          <cell r="D759">
            <v>3.7660574650338025E-5</v>
          </cell>
          <cell r="E759">
            <v>7.9259696373065326E-5</v>
          </cell>
          <cell r="F759">
            <v>9.2119346078403745E-5</v>
          </cell>
          <cell r="G759">
            <v>2.2697488447517081E-3</v>
          </cell>
          <cell r="H759">
            <v>4.815025727635096E-3</v>
          </cell>
          <cell r="I759">
            <v>4.2178657473827142E-3</v>
          </cell>
        </row>
        <row r="760">
          <cell r="A760" t="str">
            <v>D-T-ELC-TW_Bat_S4</v>
          </cell>
          <cell r="B760" t="str">
            <v>VAR_fin</v>
          </cell>
          <cell r="C760" t="str">
            <v>TELC</v>
          </cell>
          <cell r="D760">
            <v>3.7660574650338025E-5</v>
          </cell>
          <cell r="E760">
            <v>7.9259696373065326E-5</v>
          </cell>
          <cell r="F760">
            <v>9.2119346078403745E-5</v>
          </cell>
          <cell r="G760">
            <v>2.2697488447517081E-3</v>
          </cell>
          <cell r="H760">
            <v>4.815025727635096E-3</v>
          </cell>
          <cell r="I760">
            <v>4.2178657473827142E-3</v>
          </cell>
        </row>
        <row r="761">
          <cell r="A761" t="str">
            <v>D-T-ELC-TW_Bat_S4</v>
          </cell>
          <cell r="B761" t="str">
            <v>VAR_ncap</v>
          </cell>
          <cell r="C761" t="str">
            <v>-</v>
          </cell>
          <cell r="D761">
            <v>7.4514778330104006E-5</v>
          </cell>
          <cell r="E761">
            <v>4.7965057779657002E-7</v>
          </cell>
          <cell r="F761">
            <v>1.20691090774645E-6</v>
          </cell>
          <cell r="G761">
            <v>1.6382130162577801E-4</v>
          </cell>
          <cell r="H761">
            <v>1.65075150808749E-6</v>
          </cell>
          <cell r="I761">
            <v>6.2461765307127794E-5</v>
          </cell>
        </row>
        <row r="762">
          <cell r="A762" t="str">
            <v>D-T-ELC-TW_Bat_S4</v>
          </cell>
          <cell r="B762" t="str">
            <v>VAR_cap</v>
          </cell>
          <cell r="C762" t="str">
            <v>-</v>
          </cell>
          <cell r="D762">
            <v>7.4514778330104006E-5</v>
          </cell>
          <cell r="E762">
            <v>7.4994428907900496E-5</v>
          </cell>
          <cell r="F762">
            <v>7.6201339815647E-5</v>
          </cell>
          <cell r="G762">
            <v>2.4002264144142499E-4</v>
          </cell>
          <cell r="H762">
            <v>5.0951302173464497E-4</v>
          </cell>
          <cell r="I762">
            <v>4.4611303274948101E-4</v>
          </cell>
        </row>
        <row r="763">
          <cell r="A763" t="str">
            <v>T_B_u-ICENGA-S1</v>
          </cell>
          <cell r="B763" t="str">
            <v>VAR_fout</v>
          </cell>
          <cell r="C763" t="str">
            <v>CO2_T</v>
          </cell>
          <cell r="E763">
            <v>8.4688453246609605E-3</v>
          </cell>
          <cell r="F763">
            <v>2.7142145584673601E-2</v>
          </cell>
          <cell r="G763">
            <v>8.1257273428768205E-5</v>
          </cell>
        </row>
        <row r="764">
          <cell r="A764" t="str">
            <v>T_B_u-ICENGA-S1</v>
          </cell>
          <cell r="B764" t="str">
            <v>VAR_fout</v>
          </cell>
          <cell r="C764" t="str">
            <v>TPBSu</v>
          </cell>
          <cell r="E764">
            <v>1.8054485052671623E-5</v>
          </cell>
          <cell r="F764">
            <v>5.9835454089775586E-5</v>
          </cell>
          <cell r="G764">
            <v>1.7785118231754182E-7</v>
          </cell>
        </row>
        <row r="765">
          <cell r="A765" t="str">
            <v>T_B_u-ICENGA-S1</v>
          </cell>
          <cell r="B765" t="str">
            <v>VAR_fin</v>
          </cell>
          <cell r="C765" t="str">
            <v>TNGA</v>
          </cell>
          <cell r="E765">
            <v>1.5015683199753478E-4</v>
          </cell>
          <cell r="F765">
            <v>4.8124371604031164E-4</v>
          </cell>
          <cell r="G765">
            <v>1.440731798382415E-6</v>
          </cell>
        </row>
        <row r="766">
          <cell r="A766" t="str">
            <v>T_B_u-ICENGA-S1</v>
          </cell>
          <cell r="B766" t="str">
            <v>VAR_ncap</v>
          </cell>
          <cell r="C766" t="str">
            <v>-</v>
          </cell>
          <cell r="E766">
            <v>4.4058209260160098E-7</v>
          </cell>
          <cell r="F766">
            <v>7.5571120883596003E-7</v>
          </cell>
          <cell r="G766">
            <v>1.22859470589169E-8</v>
          </cell>
          <cell r="H766">
            <v>1.0099028167722E-8</v>
          </cell>
        </row>
        <row r="767">
          <cell r="A767" t="str">
            <v>T_B_u-ICENGA-S1</v>
          </cell>
          <cell r="B767" t="str">
            <v>VAR_cap</v>
          </cell>
          <cell r="C767" t="str">
            <v>-</v>
          </cell>
          <cell r="E767">
            <v>4.4058209260160098E-7</v>
          </cell>
          <cell r="F767">
            <v>1.1962933014375601E-6</v>
          </cell>
          <cell r="G767">
            <v>3.7450605294649866E-8</v>
          </cell>
          <cell r="H767">
            <v>1.3282717344321101E-8</v>
          </cell>
          <cell r="I767">
            <v>7.4972168995671799E-9</v>
          </cell>
        </row>
        <row r="768">
          <cell r="A768" t="str">
            <v>T_B_u-ICENGA-S2</v>
          </cell>
          <cell r="B768" t="str">
            <v>VAR_fout</v>
          </cell>
          <cell r="C768" t="str">
            <v>CO2_T</v>
          </cell>
          <cell r="E768">
            <v>5.0671216954506796E-3</v>
          </cell>
          <cell r="F768">
            <v>4.4649750218019431E-2</v>
          </cell>
        </row>
        <row r="769">
          <cell r="A769" t="str">
            <v>T_B_u-ICENGA-S2</v>
          </cell>
          <cell r="B769" t="str">
            <v>VAR_fout</v>
          </cell>
          <cell r="C769" t="str">
            <v>TPBSu</v>
          </cell>
          <cell r="E769">
            <v>7.6364467403349405E-6</v>
          </cell>
          <cell r="F769">
            <v>7.0272331971791142E-5</v>
          </cell>
        </row>
        <row r="770">
          <cell r="A770" t="str">
            <v>T_B_u-ICENGA-S2</v>
          </cell>
          <cell r="B770" t="str">
            <v>VAR_fin</v>
          </cell>
          <cell r="C770" t="str">
            <v>TNGA</v>
          </cell>
          <cell r="E770">
            <v>8.984258325267169E-5</v>
          </cell>
          <cell r="F770">
            <v>7.9166223790814603E-4</v>
          </cell>
        </row>
        <row r="771">
          <cell r="A771" t="str">
            <v>T_B_u-ICENGA-S2</v>
          </cell>
          <cell r="B771" t="str">
            <v>VAR_ncap</v>
          </cell>
          <cell r="C771" t="str">
            <v>-</v>
          </cell>
          <cell r="E771">
            <v>1.8202632249589501E-7</v>
          </cell>
          <cell r="F771">
            <v>1.13385001498343E-6</v>
          </cell>
        </row>
        <row r="772">
          <cell r="A772" t="str">
            <v>T_B_u-ICENGA-S2</v>
          </cell>
          <cell r="B772" t="str">
            <v>VAR_cap</v>
          </cell>
          <cell r="C772" t="str">
            <v>-</v>
          </cell>
          <cell r="E772">
            <v>1.8202632249589501E-7</v>
          </cell>
          <cell r="F772">
            <v>1.3158763374793201E-6</v>
          </cell>
          <cell r="G772">
            <v>1.0162200637990106E-8</v>
          </cell>
          <cell r="H772">
            <v>-1.4593550514835801E-8</v>
          </cell>
        </row>
        <row r="773">
          <cell r="A773" t="str">
            <v>T_B_c-ICEDSLEXT</v>
          </cell>
          <cell r="B773" t="str">
            <v>VAR_fout</v>
          </cell>
          <cell r="C773" t="str">
            <v>CO2_T</v>
          </cell>
          <cell r="D773">
            <v>0.44185535127511499</v>
          </cell>
          <cell r="E773">
            <v>0.44080896522963198</v>
          </cell>
          <cell r="F773">
            <v>0.43759727818692901</v>
          </cell>
        </row>
        <row r="774">
          <cell r="A774" t="str">
            <v>T_B_c-ICEDSLEXT</v>
          </cell>
          <cell r="B774" t="str">
            <v>VAR_fout</v>
          </cell>
          <cell r="C774" t="str">
            <v>TPBSc</v>
          </cell>
          <cell r="D774">
            <v>5.9980505180332815E-2</v>
          </cell>
          <cell r="E774">
            <v>4.7988199835346877E-2</v>
          </cell>
          <cell r="F774">
            <v>2.999268006209363E-2</v>
          </cell>
        </row>
        <row r="775">
          <cell r="A775" t="str">
            <v>T_B_c-ICEDSLEXT</v>
          </cell>
          <cell r="B775" t="str">
            <v>VAR_fin</v>
          </cell>
          <cell r="C775" t="str">
            <v>TDSL</v>
          </cell>
          <cell r="D775">
            <v>6.0280402629620099E-3</v>
          </cell>
          <cell r="E775">
            <v>6.0137648735283994E-3</v>
          </cell>
          <cell r="F775">
            <v>5.9699492249239991E-3</v>
          </cell>
        </row>
        <row r="776">
          <cell r="A776" t="str">
            <v>T_B_c-ICEDSLEXT</v>
          </cell>
          <cell r="B776" t="str">
            <v>VAR_cap</v>
          </cell>
          <cell r="C776" t="str">
            <v>-</v>
          </cell>
          <cell r="D776">
            <v>1.30332047521267E-3</v>
          </cell>
          <cell r="E776">
            <v>1.04265638017014E-3</v>
          </cell>
          <cell r="F776">
            <v>6.5166023760633498E-4</v>
          </cell>
        </row>
        <row r="777">
          <cell r="A777" t="str">
            <v>T_B_u-ICENGA-S3</v>
          </cell>
          <cell r="B777" t="str">
            <v>VAR_fout</v>
          </cell>
          <cell r="C777" t="str">
            <v>CO2_T</v>
          </cell>
          <cell r="E777">
            <v>4.7252974567115599E-3</v>
          </cell>
          <cell r="F777">
            <v>1.5685639749373468</v>
          </cell>
          <cell r="I777">
            <v>9.2115786403625403E-4</v>
          </cell>
        </row>
        <row r="778">
          <cell r="A778" t="str">
            <v>T_B_u-ICENGA-S3</v>
          </cell>
          <cell r="B778" t="str">
            <v>VAR_fout</v>
          </cell>
          <cell r="C778" t="str">
            <v>TPBSu</v>
          </cell>
          <cell r="E778">
            <v>4.727151839479151E-6</v>
          </cell>
          <cell r="F778">
            <v>1.6504772187046965E-3</v>
          </cell>
          <cell r="I778">
            <v>1.1589286977160929E-6</v>
          </cell>
        </row>
        <row r="779">
          <cell r="A779" t="str">
            <v>T_B_u-ICENGA-S3</v>
          </cell>
          <cell r="B779" t="str">
            <v>VAR_fin</v>
          </cell>
          <cell r="C779" t="str">
            <v>TNGA</v>
          </cell>
          <cell r="E779">
            <v>8.3781869799850407E-5</v>
          </cell>
          <cell r="F779">
            <v>2.7811417995343011E-2</v>
          </cell>
          <cell r="I779">
            <v>1.6332586241777554E-5</v>
          </cell>
        </row>
        <row r="780">
          <cell r="A780" t="str">
            <v>T_B_u-ICENGA-S3</v>
          </cell>
          <cell r="B780" t="str">
            <v>VAR_ncap</v>
          </cell>
          <cell r="C780" t="str">
            <v>-</v>
          </cell>
          <cell r="E780">
            <v>9.9739008436236705E-8</v>
          </cell>
          <cell r="F780">
            <v>3.0992757857309302E-5</v>
          </cell>
          <cell r="H780">
            <v>1.55420695665757E-8</v>
          </cell>
        </row>
        <row r="781">
          <cell r="A781" t="str">
            <v>T_B_u-ICENGA-S3</v>
          </cell>
          <cell r="B781" t="str">
            <v>VAR_cap</v>
          </cell>
          <cell r="C781" t="str">
            <v>-</v>
          </cell>
          <cell r="E781">
            <v>9.9739008436236705E-8</v>
          </cell>
          <cell r="F781">
            <v>3.1092496865745501E-5</v>
          </cell>
          <cell r="G781">
            <v>-3.2042928650003496E-9</v>
          </cell>
          <cell r="H781">
            <v>-4.8676908349544011E-9</v>
          </cell>
          <cell r="I781">
            <v>5.3234890449308001E-9</v>
          </cell>
        </row>
        <row r="782">
          <cell r="A782" t="str">
            <v>T_B_u-ICENGA-S4</v>
          </cell>
          <cell r="B782" t="str">
            <v>VAR_fout</v>
          </cell>
          <cell r="C782" t="str">
            <v>CO2_T</v>
          </cell>
          <cell r="I782">
            <v>7.9119209725065699E-4</v>
          </cell>
        </row>
        <row r="783">
          <cell r="A783" t="str">
            <v>T_B_u-ICENGA-S4</v>
          </cell>
          <cell r="B783" t="str">
            <v>VAR_fout</v>
          </cell>
          <cell r="C783" t="str">
            <v>TPBSu</v>
          </cell>
          <cell r="I783">
            <v>6.6632925215148602E-7</v>
          </cell>
        </row>
        <row r="784">
          <cell r="A784" t="str">
            <v>T_B_u-ICENGA-S4</v>
          </cell>
          <cell r="B784" t="str">
            <v>VAR_fin</v>
          </cell>
          <cell r="C784" t="str">
            <v>TNGA</v>
          </cell>
          <cell r="I784">
            <v>1.4028228674657045E-5</v>
          </cell>
        </row>
        <row r="785">
          <cell r="A785" t="str">
            <v>T_B_u-ICENGA-S4</v>
          </cell>
          <cell r="B785" t="str">
            <v>VAR_cap</v>
          </cell>
          <cell r="C785" t="str">
            <v>-</v>
          </cell>
          <cell r="H785">
            <v>-1.6372174456338301E-8</v>
          </cell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>
        <row r="9">
          <cell r="B9">
            <v>18.873123390066002</v>
          </cell>
          <cell r="C9">
            <v>21.777729839781443</v>
          </cell>
          <cell r="D9">
            <v>32.118708554045234</v>
          </cell>
          <cell r="E9">
            <v>60.464774699651606</v>
          </cell>
          <cell r="F9">
            <v>90.82162824421502</v>
          </cell>
          <cell r="G9">
            <v>117.60180322248836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0.55901362265447885</v>
          </cell>
          <cell r="G28">
            <v>21.380768533458554</v>
          </cell>
        </row>
      </sheetData>
      <sheetData sheetId="31"/>
      <sheetData sheetId="32"/>
      <sheetData sheetId="33">
        <row r="14">
          <cell r="B14">
            <v>82.76000465260185</v>
          </cell>
          <cell r="C14">
            <v>82.759989533387227</v>
          </cell>
          <cell r="D14">
            <v>67.103174328569565</v>
          </cell>
          <cell r="E14">
            <v>69.934407070168248</v>
          </cell>
          <cell r="F14">
            <v>32.820802341313581</v>
          </cell>
          <cell r="G14">
            <v>0</v>
          </cell>
        </row>
        <row r="15">
          <cell r="B15">
            <v>66.745680254990347</v>
          </cell>
          <cell r="C15">
            <v>49.798800132421839</v>
          </cell>
          <cell r="D15">
            <v>68.534753880992568</v>
          </cell>
          <cell r="E15">
            <v>70.674053749448348</v>
          </cell>
          <cell r="F15">
            <v>72.726673527690465</v>
          </cell>
          <cell r="G15">
            <v>74.835177080932695</v>
          </cell>
        </row>
        <row r="16">
          <cell r="B16">
            <v>66.63240339221673</v>
          </cell>
          <cell r="C16">
            <v>55.764002869629728</v>
          </cell>
          <cell r="D16">
            <v>65.550592645327413</v>
          </cell>
          <cell r="E16">
            <v>64.47402554118807</v>
          </cell>
          <cell r="F16">
            <v>62.590508052977171</v>
          </cell>
          <cell r="G16">
            <v>60.48200508705731</v>
          </cell>
        </row>
        <row r="17">
          <cell r="B17">
            <v>12.841922884393187</v>
          </cell>
          <cell r="C17">
            <v>16.033928833730471</v>
          </cell>
          <cell r="D17">
            <v>35.140998258857003</v>
          </cell>
          <cell r="E17">
            <v>12.579651401712155</v>
          </cell>
          <cell r="F17">
            <v>13.033095589054684</v>
          </cell>
          <cell r="G17">
            <v>13.481208127579405</v>
          </cell>
        </row>
        <row r="18">
          <cell r="B18">
            <v>3.960320105929338E-2</v>
          </cell>
          <cell r="C18">
            <v>1.896500199839607E-5</v>
          </cell>
          <cell r="D18">
            <v>1.6302896276131833E-3</v>
          </cell>
          <cell r="E18">
            <v>2.1010068357868133E-4</v>
          </cell>
          <cell r="F18">
            <v>0.17115488500411999</v>
          </cell>
          <cell r="G18">
            <v>3.6655740251303954E-5</v>
          </cell>
        </row>
        <row r="19">
          <cell r="B19">
            <v>6.5070009628119632</v>
          </cell>
          <cell r="C19">
            <v>7.3027682555643674</v>
          </cell>
          <cell r="D19">
            <v>7.411998323261578</v>
          </cell>
          <cell r="E19">
            <v>7.3981386529536772</v>
          </cell>
          <cell r="F19">
            <v>5.0322515952326246</v>
          </cell>
          <cell r="G19">
            <v>4.6999671370214378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2.7056548903470619</v>
          </cell>
          <cell r="G20">
            <v>4.4885583394399982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9.4742901290220891E-6</v>
          </cell>
          <cell r="G21">
            <v>1.0337399837807694E-2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3.2767575889685644E-6</v>
          </cell>
          <cell r="G22">
            <v>2.3553849316117287E-2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>
            <v>0.9658829888816659</v>
          </cell>
          <cell r="C24">
            <v>1.1353411454200475E-4</v>
          </cell>
          <cell r="D24">
            <v>4.8526120076363024E-4</v>
          </cell>
          <cell r="E24">
            <v>0</v>
          </cell>
          <cell r="F24">
            <v>0</v>
          </cell>
          <cell r="G24">
            <v>0</v>
          </cell>
        </row>
        <row r="25">
          <cell r="B25">
            <v>0.34930424747185884</v>
          </cell>
          <cell r="C25">
            <v>1.1777356555795814E-4</v>
          </cell>
          <cell r="D25">
            <v>2.6044376589562466E-4</v>
          </cell>
          <cell r="E25">
            <v>1.0730014458396229</v>
          </cell>
          <cell r="F25">
            <v>1.3385577966299516</v>
          </cell>
          <cell r="G25">
            <v>1.4671858515358698</v>
          </cell>
        </row>
        <row r="26">
          <cell r="B26">
            <v>1.5475494193466222</v>
          </cell>
          <cell r="C26">
            <v>1.4243002982946662</v>
          </cell>
          <cell r="D26">
            <v>1.4394943976972043</v>
          </cell>
          <cell r="E26">
            <v>1.4285997353522328</v>
          </cell>
          <cell r="F26">
            <v>0.96658895810874634</v>
          </cell>
          <cell r="G26">
            <v>0.63309065367518613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0.43034446692561606</v>
          </cell>
          <cell r="G27">
            <v>0.71886975600731162</v>
          </cell>
        </row>
        <row r="28">
          <cell r="B28">
            <v>1.803013673846607E-3</v>
          </cell>
          <cell r="C28">
            <v>1.2075910509146066E-5</v>
          </cell>
          <cell r="D28">
            <v>5.6159778629402983E-4</v>
          </cell>
          <cell r="E28">
            <v>1.5761689026100586E-4</v>
          </cell>
          <cell r="F28">
            <v>4.0533140248163546E-4</v>
          </cell>
          <cell r="G28">
            <v>9.518119668679972E-6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0.16527191344571698</v>
          </cell>
          <cell r="G30">
            <v>0.16528799548007675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2.8906893966344419E-4</v>
          </cell>
          <cell r="G31">
            <v>1.7683246107332348E-3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8.3840257930779274E-2</v>
          </cell>
          <cell r="G32">
            <v>3.2071040292876409</v>
          </cell>
        </row>
        <row r="33">
          <cell r="B33">
            <v>0.52400000000000047</v>
          </cell>
          <cell r="C33">
            <v>0.54529202407596833</v>
          </cell>
          <cell r="D33">
            <v>0.50316462240951687</v>
          </cell>
          <cell r="E33">
            <v>2.0502620649064438</v>
          </cell>
          <cell r="F33">
            <v>3.5228267551637362</v>
          </cell>
          <cell r="G33">
            <v>14.102832966782467</v>
          </cell>
        </row>
        <row r="34">
          <cell r="B34">
            <v>0</v>
          </cell>
          <cell r="C34">
            <v>0</v>
          </cell>
          <cell r="D34">
            <v>0.14080599505170271</v>
          </cell>
          <cell r="E34">
            <v>0.23805417087511158</v>
          </cell>
          <cell r="F34">
            <v>2.5415870163117207</v>
          </cell>
          <cell r="G34">
            <v>7.3435169214838325</v>
          </cell>
        </row>
        <row r="35">
          <cell r="B35">
            <v>3.517953999707534</v>
          </cell>
          <cell r="C35">
            <v>4.8498357454346204</v>
          </cell>
          <cell r="D35">
            <v>11.161627644528886</v>
          </cell>
          <cell r="E35">
            <v>16.258297366025332</v>
          </cell>
          <cell r="F35">
            <v>40.834405027552961</v>
          </cell>
          <cell r="G35">
            <v>64.334261714438298</v>
          </cell>
        </row>
        <row r="36">
          <cell r="B36">
            <v>2.1349390887346629</v>
          </cell>
          <cell r="C36">
            <v>3.3906663604551355</v>
          </cell>
          <cell r="D36">
            <v>4.0419321046137471</v>
          </cell>
          <cell r="E36">
            <v>4.3456932846768277</v>
          </cell>
          <cell r="F36">
            <v>1.5499492061752056</v>
          </cell>
          <cell r="G36">
            <v>3.2251082784662613E-3</v>
          </cell>
        </row>
        <row r="37">
          <cell r="B37">
            <v>0.86248322578584768</v>
          </cell>
          <cell r="C37">
            <v>1.2875837493169007</v>
          </cell>
          <cell r="D37">
            <v>3.4890331645823487</v>
          </cell>
          <cell r="E37">
            <v>3.8210149534208169</v>
          </cell>
          <cell r="F37">
            <v>4.2207934377488368</v>
          </cell>
          <cell r="G37">
            <v>4.6623857063809417</v>
          </cell>
        </row>
        <row r="38">
          <cell r="B38">
            <v>2.8396236857719668</v>
          </cell>
          <cell r="C38">
            <v>3.2944550569698281</v>
          </cell>
          <cell r="D38">
            <v>9.9666065603753466</v>
          </cell>
          <cell r="E38">
            <v>10.737735925875244</v>
          </cell>
          <cell r="F38">
            <v>26.581678840365736</v>
          </cell>
          <cell r="G38">
            <v>29.362713259233413</v>
          </cell>
        </row>
        <row r="39">
          <cell r="B39">
            <v>0.66998053728445306</v>
          </cell>
          <cell r="C39">
            <v>8.9728723846753983E-2</v>
          </cell>
          <cell r="D39">
            <v>5.1512683758403781E-2</v>
          </cell>
          <cell r="E39">
            <v>0.10663747871529879</v>
          </cell>
          <cell r="F39">
            <v>0.66546002587379116</v>
          </cell>
          <cell r="G39">
            <v>0.42387157276595083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1.8038127339361928E-3</v>
          </cell>
          <cell r="G40">
            <v>0.24510244842424073</v>
          </cell>
        </row>
        <row r="41">
          <cell r="B41">
            <v>7.0507828726285915E-2</v>
          </cell>
          <cell r="C41">
            <v>0.17150077720659426</v>
          </cell>
          <cell r="D41">
            <v>1.0643053266378056E-2</v>
          </cell>
          <cell r="E41">
            <v>0.17117193931391847</v>
          </cell>
          <cell r="F41">
            <v>0</v>
          </cell>
          <cell r="G41">
            <v>0</v>
          </cell>
        </row>
        <row r="42">
          <cell r="B42">
            <v>0.17247666593179214</v>
          </cell>
          <cell r="C42">
            <v>0.52165321824053901</v>
          </cell>
          <cell r="D42">
            <v>1.1232877017347516</v>
          </cell>
          <cell r="E42">
            <v>1.8550125645457916</v>
          </cell>
          <cell r="F42">
            <v>1.7186525483122645</v>
          </cell>
          <cell r="G42">
            <v>1.7152488066302649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1.1229653357707416</v>
          </cell>
          <cell r="G43">
            <v>2.4674652656067799</v>
          </cell>
        </row>
        <row r="44">
          <cell r="B44">
            <v>0.23004774028680994</v>
          </cell>
          <cell r="C44">
            <v>0.23015933604500072</v>
          </cell>
          <cell r="D44">
            <v>0.33670705432740033</v>
          </cell>
          <cell r="E44">
            <v>0.33294742670362881</v>
          </cell>
          <cell r="F44">
            <v>0.21766846304028453</v>
          </cell>
          <cell r="G44">
            <v>6.1758054453918466E-5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9.8960604686658529E-2</v>
          </cell>
          <cell r="G45">
            <v>0.59286037822204374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2.9755746356543902E-3</v>
          </cell>
          <cell r="F46">
            <v>0.4137484541940003</v>
          </cell>
          <cell r="G46">
            <v>0.39113432103859846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2.2930145714510742E-4</v>
          </cell>
          <cell r="F47">
            <v>2.724071708175315E-3</v>
          </cell>
          <cell r="G47">
            <v>1.0223222316030184E-3</v>
          </cell>
        </row>
        <row r="48">
          <cell r="B48">
            <v>1.3548999175948095E-2</v>
          </cell>
          <cell r="C48">
            <v>2.2912844610038737E-3</v>
          </cell>
          <cell r="D48">
            <v>3.6374513237858578E-3</v>
          </cell>
          <cell r="E48">
            <v>7.604142713417846E-3</v>
          </cell>
          <cell r="F48">
            <v>2.1971490343487251E-3</v>
          </cell>
          <cell r="G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6.273391796714242E-4</v>
          </cell>
          <cell r="F50">
            <v>1.5799748584427765E-3</v>
          </cell>
          <cell r="G50">
            <v>7.0994927732627173E-4</v>
          </cell>
        </row>
        <row r="51">
          <cell r="B51">
            <v>2.7718813053719971E-2</v>
          </cell>
          <cell r="C51">
            <v>8.2515088566882666E-2</v>
          </cell>
          <cell r="D51">
            <v>8.3026834561493471E-2</v>
          </cell>
          <cell r="E51">
            <v>0.33612259870013261</v>
          </cell>
          <cell r="F51">
            <v>0.15531669172664975</v>
          </cell>
          <cell r="G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2.0974207815227948E-3</v>
          </cell>
          <cell r="F53">
            <v>0.35928018871262452</v>
          </cell>
          <cell r="G53">
            <v>0.2341997854593072</v>
          </cell>
        </row>
        <row r="54">
          <cell r="B54">
            <v>0.95937493003076746</v>
          </cell>
          <cell r="C54">
            <v>1.1059442191052704</v>
          </cell>
          <cell r="D54">
            <v>1.10594113999872</v>
          </cell>
          <cell r="E54">
            <v>1.1059413230136084</v>
          </cell>
          <cell r="F54">
            <v>1.1059442707808418</v>
          </cell>
          <cell r="G54">
            <v>1.1059415423416161</v>
          </cell>
        </row>
        <row r="55">
          <cell r="B55">
            <v>0.59440862821173568</v>
          </cell>
          <cell r="C55">
            <v>0.62587476391855923</v>
          </cell>
          <cell r="D55">
            <v>0.16630627488457203</v>
          </cell>
          <cell r="E55">
            <v>0.16665611258900348</v>
          </cell>
          <cell r="F55">
            <v>0.12139218058749249</v>
          </cell>
          <cell r="G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3.3596991147660283E-4</v>
          </cell>
          <cell r="F56">
            <v>9.8166032061562853E-4</v>
          </cell>
          <cell r="G56">
            <v>2.2641421331273085E-4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5.0497043352455771E-4</v>
          </cell>
          <cell r="F57">
            <v>2.6663102262093213E-2</v>
          </cell>
          <cell r="G57">
            <v>1.7396335926737675E-2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70">
          <cell r="B70">
            <v>9.4531388901035823E-2</v>
          </cell>
          <cell r="C70">
            <v>8.6469821436489149E-3</v>
          </cell>
          <cell r="D70">
            <v>9.4500223798924754E-2</v>
          </cell>
          <cell r="E70">
            <v>1.2309206137218578E-3</v>
          </cell>
          <cell r="F70">
            <v>9.4480211836220684E-2</v>
          </cell>
          <cell r="G70">
            <v>9.4493698035869642E-2</v>
          </cell>
        </row>
        <row r="71">
          <cell r="B71">
            <v>2.1663459236617834E-3</v>
          </cell>
          <cell r="C71">
            <v>1.7276063413911771E-3</v>
          </cell>
          <cell r="D71">
            <v>2.1636897209801392E-3</v>
          </cell>
          <cell r="E71">
            <v>1.9089215188635841E-3</v>
          </cell>
          <cell r="F71">
            <v>0.44410081072884644</v>
          </cell>
          <cell r="G71">
            <v>2.88315498200887</v>
          </cell>
        </row>
        <row r="72">
          <cell r="B72">
            <v>1.9569015821942911E-3</v>
          </cell>
          <cell r="C72">
            <v>1.572851164714189E-3</v>
          </cell>
          <cell r="D72">
            <v>1.9515578014451921E-3</v>
          </cell>
          <cell r="E72">
            <v>1.8053463265202279E-3</v>
          </cell>
          <cell r="F72">
            <v>9.9542570003764499E-3</v>
          </cell>
          <cell r="G72">
            <v>0.10584914149320672</v>
          </cell>
        </row>
        <row r="73">
          <cell r="B73">
            <v>6.2791337135903783E-4</v>
          </cell>
          <cell r="C73">
            <v>6.2073372537942259E-4</v>
          </cell>
          <cell r="D73">
            <v>6.2347385560357132E-4</v>
          </cell>
          <cell r="E73">
            <v>3.8205449333328624E-2</v>
          </cell>
          <cell r="F73">
            <v>0.31124888504413778</v>
          </cell>
          <cell r="G73">
            <v>0.63737692583814898</v>
          </cell>
        </row>
        <row r="74">
          <cell r="B74">
            <v>1.2643082321672689E-3</v>
          </cell>
          <cell r="C74">
            <v>1.2500108874985575E-3</v>
          </cell>
          <cell r="D74">
            <v>1.2560872188291819E-3</v>
          </cell>
          <cell r="E74">
            <v>1.7792330627497931E-2</v>
          </cell>
          <cell r="F74">
            <v>2.2495959204705141E-2</v>
          </cell>
          <cell r="G74">
            <v>1.3851834843792023E-2</v>
          </cell>
        </row>
        <row r="75">
          <cell r="B75">
            <v>1.2645713027454779E-3</v>
          </cell>
          <cell r="C75">
            <v>1.2502532319263455E-3</v>
          </cell>
          <cell r="D75">
            <v>1.2561653441815132E-3</v>
          </cell>
          <cell r="E75">
            <v>1.7856428711636972E-2</v>
          </cell>
          <cell r="F75">
            <v>2.3109784484055561E-2</v>
          </cell>
          <cell r="G75">
            <v>1.3948017063237379E-2</v>
          </cell>
        </row>
        <row r="76">
          <cell r="B76">
            <v>6.3066501497330881E-4</v>
          </cell>
          <cell r="C76">
            <v>6.2348468669363695E-4</v>
          </cell>
          <cell r="D76">
            <v>6.2625973801339226E-4</v>
          </cell>
          <cell r="E76">
            <v>1.2310557126354656E-2</v>
          </cell>
          <cell r="F76">
            <v>1.497882885014846E-2</v>
          </cell>
          <cell r="G76">
            <v>9.2185689314622631E-3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6.6784315224803321E-5</v>
          </cell>
          <cell r="G90">
            <v>6.3754143134864814E-5</v>
          </cell>
        </row>
        <row r="91">
          <cell r="B91">
            <v>1.8035554012585471</v>
          </cell>
          <cell r="C91">
            <v>2.181620415307501E-4</v>
          </cell>
          <cell r="D91">
            <v>9.7197637868295982E-4</v>
          </cell>
          <cell r="E91">
            <v>0</v>
          </cell>
          <cell r="F91">
            <v>0</v>
          </cell>
          <cell r="G91">
            <v>0</v>
          </cell>
        </row>
        <row r="92">
          <cell r="B92">
            <v>1.1791811500327745</v>
          </cell>
          <cell r="C92">
            <v>0.24884602835543118</v>
          </cell>
          <cell r="D92">
            <v>0.34513591279622247</v>
          </cell>
          <cell r="E92">
            <v>2.8061157433301407</v>
          </cell>
          <cell r="F92">
            <v>3.5006690556935371</v>
          </cell>
          <cell r="G92">
            <v>4.8078047377387554</v>
          </cell>
        </row>
        <row r="93">
          <cell r="B93">
            <v>14.461270338518023</v>
          </cell>
          <cell r="C93">
            <v>13.051651043156513</v>
          </cell>
          <cell r="D93">
            <v>13.178021996597375</v>
          </cell>
          <cell r="E93">
            <v>12.779638516520453</v>
          </cell>
          <cell r="F93">
            <v>11.840666597870733</v>
          </cell>
          <cell r="G93">
            <v>10.865295072398737</v>
          </cell>
        </row>
        <row r="94">
          <cell r="B94">
            <v>9.2726417512111192E-3</v>
          </cell>
          <cell r="C94">
            <v>6.2104682618465415E-5</v>
          </cell>
          <cell r="D94">
            <v>2.8882171866550089E-3</v>
          </cell>
          <cell r="E94">
            <v>8.1060114991374384E-4</v>
          </cell>
          <cell r="F94">
            <v>2.0845614984769819E-3</v>
          </cell>
          <cell r="G94">
            <v>4.8950329724639801E-5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0.20068732346979865</v>
          </cell>
          <cell r="G96">
            <v>0.20857770858200134</v>
          </cell>
        </row>
        <row r="97">
          <cell r="B97">
            <v>1.732909558024573</v>
          </cell>
          <cell r="C97">
            <v>2.4015586836574809</v>
          </cell>
          <cell r="D97">
            <v>0.50950435632666902</v>
          </cell>
          <cell r="E97">
            <v>0</v>
          </cell>
          <cell r="F97">
            <v>0</v>
          </cell>
          <cell r="G97">
            <v>0</v>
          </cell>
        </row>
        <row r="98">
          <cell r="B98">
            <v>0.90179165912982751</v>
          </cell>
          <cell r="C98">
            <v>0.90177568212965153</v>
          </cell>
          <cell r="D98">
            <v>0.90177636236622616</v>
          </cell>
          <cell r="E98">
            <v>0.90177685096863147</v>
          </cell>
          <cell r="F98">
            <v>0.98977441740914351</v>
          </cell>
          <cell r="G98">
            <v>0.9897660167780048</v>
          </cell>
        </row>
        <row r="99">
          <cell r="B99">
            <v>1.4500240724729587</v>
          </cell>
          <cell r="C99">
            <v>3.801915350951345</v>
          </cell>
          <cell r="D99">
            <v>3.8013930780159932</v>
          </cell>
          <cell r="E99">
            <v>1.0696420869957424</v>
          </cell>
          <cell r="F99">
            <v>0</v>
          </cell>
          <cell r="G99">
            <v>0</v>
          </cell>
        </row>
        <row r="100">
          <cell r="B100">
            <v>0.18408143843466365</v>
          </cell>
          <cell r="C100">
            <v>0.18586910679802096</v>
          </cell>
          <cell r="D100">
            <v>5.3206255930339758E-2</v>
          </cell>
          <cell r="E100">
            <v>5.3595471504837872E-2</v>
          </cell>
          <cell r="F100">
            <v>9.7592933355602831E-5</v>
          </cell>
          <cell r="G100">
            <v>5.6647725711174802E-6</v>
          </cell>
        </row>
        <row r="101">
          <cell r="B101">
            <v>1.3359053111907238</v>
          </cell>
          <cell r="C101">
            <v>1.2056521777917923</v>
          </cell>
          <cell r="D101">
            <v>1.0337007755821053</v>
          </cell>
          <cell r="E101">
            <v>0.79986073803141877</v>
          </cell>
          <cell r="F101">
            <v>1.0095667302084097</v>
          </cell>
          <cell r="G101">
            <v>0.60447942245546993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2.6913267473530945E-5</v>
          </cell>
          <cell r="F102">
            <v>2.5827872756070842E-5</v>
          </cell>
          <cell r="G102">
            <v>2.6243669332189611E-5</v>
          </cell>
        </row>
        <row r="103">
          <cell r="F103">
            <v>0.75574842640369866</v>
          </cell>
          <cell r="G103">
            <v>0.73939233921021441</v>
          </cell>
        </row>
        <row r="104">
          <cell r="B104">
            <v>0.929421378664679</v>
          </cell>
          <cell r="C104">
            <v>2.0726397765141442</v>
          </cell>
          <cell r="D104">
            <v>0.1111192619538891</v>
          </cell>
          <cell r="E104">
            <v>1.3178988184424179</v>
          </cell>
          <cell r="F104">
            <v>0</v>
          </cell>
          <cell r="G104">
            <v>0</v>
          </cell>
        </row>
        <row r="105">
          <cell r="B105">
            <v>0.65962463691138318</v>
          </cell>
          <cell r="C105">
            <v>1.8167196899986511</v>
          </cell>
          <cell r="D105">
            <v>3.3360593817489446</v>
          </cell>
          <cell r="E105">
            <v>3.9240650403853277</v>
          </cell>
          <cell r="F105">
            <v>6.0111147547909844</v>
          </cell>
          <cell r="G105">
            <v>8.8480489989629927</v>
          </cell>
        </row>
        <row r="106">
          <cell r="B106">
            <v>1.9348446338597027</v>
          </cell>
          <cell r="C106">
            <v>1.8587815010417565</v>
          </cell>
          <cell r="D106">
            <v>2.5502954568700198</v>
          </cell>
          <cell r="E106">
            <v>2.2433433503462705</v>
          </cell>
          <cell r="F106">
            <v>1.6037385552976491</v>
          </cell>
          <cell r="G106">
            <v>2.0113385124123133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1.146507285725537E-4</v>
          </cell>
          <cell r="F107">
            <v>1.2245826945008296E-3</v>
          </cell>
          <cell r="G107">
            <v>4.12515988190692E-4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2.2241668993780309E-3</v>
          </cell>
          <cell r="F108">
            <v>0.24824907251639999</v>
          </cell>
          <cell r="G108">
            <v>0.19556716051929929</v>
          </cell>
        </row>
        <row r="109">
          <cell r="B109">
            <v>3.6034827791580917E-2</v>
          </cell>
          <cell r="C109">
            <v>5.761171189412973E-3</v>
          </cell>
          <cell r="D109">
            <v>1.1554329626427762E-2</v>
          </cell>
          <cell r="E109">
            <v>1.8023114344177082E-2</v>
          </cell>
          <cell r="F109">
            <v>7.002435516348598E-3</v>
          </cell>
          <cell r="G109">
            <v>3.8090196979533486E-4</v>
          </cell>
        </row>
        <row r="110">
          <cell r="B110">
            <v>7.1710965966194655E-4</v>
          </cell>
          <cell r="C110">
            <v>4.5642096010187747E-4</v>
          </cell>
          <cell r="D110">
            <v>2.9204837678953571E-4</v>
          </cell>
          <cell r="E110">
            <v>2.2201291260310154E-3</v>
          </cell>
          <cell r="F110">
            <v>6.0675238202951096E-3</v>
          </cell>
          <cell r="G110">
            <v>2.9620186743671345E-3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>
            <v>8.3633995973009759E-2</v>
          </cell>
          <cell r="C112">
            <v>0.17808777424515959</v>
          </cell>
          <cell r="D112">
            <v>0.1797136873783374</v>
          </cell>
          <cell r="E112">
            <v>0.69571582586154412</v>
          </cell>
          <cell r="F112">
            <v>0.32840374400308886</v>
          </cell>
          <cell r="G112">
            <v>4.0302269708790742E-4</v>
          </cell>
        </row>
        <row r="113">
          <cell r="B113">
            <v>7.4132836868239177E-4</v>
          </cell>
          <cell r="C113">
            <v>4.5641874058581158E-4</v>
          </cell>
          <cell r="D113">
            <v>2.920073273005809E-4</v>
          </cell>
          <cell r="E113">
            <v>6.1564640454496505E-3</v>
          </cell>
          <cell r="F113">
            <v>0.98882105968041489</v>
          </cell>
          <cell r="G113">
            <v>0.6307884226211139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B115">
            <v>1.4243236902651357</v>
          </cell>
          <cell r="C115">
            <v>1.5783245600643179</v>
          </cell>
          <cell r="D115">
            <v>1.4829184121817161</v>
          </cell>
          <cell r="E115">
            <v>1.3239157289550172</v>
          </cell>
          <cell r="F115">
            <v>1.0059124917782782</v>
          </cell>
          <cell r="G115">
            <v>1.0059100002944816</v>
          </cell>
        </row>
        <row r="116">
          <cell r="B116">
            <v>0.69258878853188333</v>
          </cell>
          <cell r="C116">
            <v>0.75020826225735937</v>
          </cell>
          <cell r="D116">
            <v>0.2076965188510336</v>
          </cell>
          <cell r="E116">
            <v>0.22208427754866869</v>
          </cell>
          <cell r="F116">
            <v>0.18208827088123872</v>
          </cell>
          <cell r="G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5.3783958242715384E-4</v>
          </cell>
          <cell r="F117">
            <v>1.5020994630796816E-3</v>
          </cell>
          <cell r="G117">
            <v>3.3330492985917911E-4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3.8005669470532499E-4</v>
          </cell>
          <cell r="F119">
            <v>1.678737379925933E-2</v>
          </cell>
          <cell r="G119">
            <v>9.8324368105085179E-3</v>
          </cell>
        </row>
        <row r="123">
          <cell r="B123">
            <v>0</v>
          </cell>
          <cell r="C123">
            <v>3.6167272228733092</v>
          </cell>
          <cell r="D123">
            <v>3.7263181604093121</v>
          </cell>
          <cell r="E123">
            <v>8.164557190329873</v>
          </cell>
          <cell r="F123">
            <v>9.0187512324581149</v>
          </cell>
          <cell r="G123">
            <v>9.9623111158729483</v>
          </cell>
        </row>
      </sheetData>
      <sheetData sheetId="34">
        <row r="13">
          <cell r="B13">
            <v>16.052405614637909</v>
          </cell>
          <cell r="C13">
            <v>20.042414644500237</v>
          </cell>
          <cell r="D13">
            <v>43.926249734336636</v>
          </cell>
          <cell r="E13">
            <v>15.724562761617161</v>
          </cell>
          <cell r="F13">
            <v>16.291367580160053</v>
          </cell>
          <cell r="G13">
            <v>16.851508342480596</v>
          </cell>
        </row>
        <row r="14">
          <cell r="B14">
            <v>250.94820788424622</v>
          </cell>
          <cell r="C14">
            <v>253.30005358253638</v>
          </cell>
          <cell r="D14">
            <v>206.09862823720434</v>
          </cell>
          <cell r="E14">
            <v>211.90224925277681</v>
          </cell>
          <cell r="F14">
            <v>98.94550646506643</v>
          </cell>
          <cell r="G14">
            <v>0</v>
          </cell>
        </row>
        <row r="15">
          <cell r="B15">
            <v>66.745680254990347</v>
          </cell>
          <cell r="C15">
            <v>49.798800132421839</v>
          </cell>
          <cell r="D15">
            <v>68.534753880992568</v>
          </cell>
          <cell r="E15">
            <v>70.674053749448348</v>
          </cell>
          <cell r="F15">
            <v>72.726673527690465</v>
          </cell>
          <cell r="G15">
            <v>74.835177080932695</v>
          </cell>
        </row>
        <row r="16">
          <cell r="B16">
            <v>66.63240339221673</v>
          </cell>
          <cell r="C16">
            <v>55.764002869629728</v>
          </cell>
          <cell r="D16">
            <v>65.550592645327413</v>
          </cell>
          <cell r="E16">
            <v>64.47402554118807</v>
          </cell>
          <cell r="F16">
            <v>62.590508052977171</v>
          </cell>
          <cell r="G16">
            <v>60.48200508705731</v>
          </cell>
        </row>
        <row r="18">
          <cell r="B18">
            <v>0.11693601624241899</v>
          </cell>
          <cell r="C18">
            <v>4.9967679203165034E-4</v>
          </cell>
          <cell r="D18">
            <v>5.7169994426964979E-3</v>
          </cell>
          <cell r="E18">
            <v>7.6701345797471109E-4</v>
          </cell>
          <cell r="F18">
            <v>0.48906976109986727</v>
          </cell>
          <cell r="G18">
            <v>1.2892753520114445E-4</v>
          </cell>
        </row>
        <row r="19">
          <cell r="B19">
            <v>18.203593172166432</v>
          </cell>
          <cell r="C19">
            <v>20.429783722893049</v>
          </cell>
          <cell r="D19">
            <v>20.735359167847193</v>
          </cell>
          <cell r="E19">
            <v>20.69658619067577</v>
          </cell>
          <cell r="F19">
            <v>14.077923347964834</v>
          </cell>
          <cell r="G19">
            <v>13.148344402260145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8.0836182932092662</v>
          </cell>
          <cell r="G20">
            <v>13.147406759763259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2.081832162802788E-5</v>
          </cell>
          <cell r="G21">
            <v>1.6676923106378045E-2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1.6904187842772471E-5</v>
          </cell>
          <cell r="G22">
            <v>5.6307715519264688E-2</v>
          </cell>
          <cell r="L22">
            <v>2.5563516141456533</v>
          </cell>
          <cell r="M22">
            <v>1.384420233087265</v>
          </cell>
          <cell r="N22">
            <v>0.40091696675106847</v>
          </cell>
          <cell r="O22">
            <v>0.52144640440025902</v>
          </cell>
          <cell r="P22">
            <v>0.66260465296287752</v>
          </cell>
          <cell r="Q22">
            <v>0.30594832998143873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L23">
            <v>6.613713346213218E-2</v>
          </cell>
          <cell r="M23">
            <v>3.1149762841877485E-2</v>
          </cell>
          <cell r="N23">
            <v>1.8890678853070508E-2</v>
          </cell>
          <cell r="O23">
            <v>9.085712885303996E-3</v>
          </cell>
          <cell r="P23">
            <v>8.7519910669632342E-2</v>
          </cell>
          <cell r="Q23">
            <v>0.4405830799299163</v>
          </cell>
        </row>
        <row r="24">
          <cell r="B24">
            <v>3.6737352476763556</v>
          </cell>
          <cell r="C24">
            <v>6.6716467123016611E-4</v>
          </cell>
          <cell r="D24">
            <v>3.1149162806494552E-3</v>
          </cell>
          <cell r="E24">
            <v>0</v>
          </cell>
          <cell r="F24">
            <v>0</v>
          </cell>
          <cell r="G24">
            <v>0</v>
          </cell>
        </row>
        <row r="25">
          <cell r="B25">
            <v>1.4321948300833025</v>
          </cell>
          <cell r="C25">
            <v>6.2499979127427364E-4</v>
          </cell>
          <cell r="D25">
            <v>1.29776670783591E-3</v>
          </cell>
          <cell r="E25">
            <v>3.9006892668363764</v>
          </cell>
          <cell r="F25">
            <v>4.3739998934395876</v>
          </cell>
          <cell r="G25">
            <v>4.7910999532275635</v>
          </cell>
        </row>
        <row r="26">
          <cell r="B26">
            <v>40.317930046686797</v>
          </cell>
          <cell r="C26">
            <v>38.473208985758966</v>
          </cell>
          <cell r="D26">
            <v>38.527293419935233</v>
          </cell>
          <cell r="E26">
            <v>39.447610421425694</v>
          </cell>
          <cell r="F26">
            <v>29.359307643326684</v>
          </cell>
          <cell r="G26">
            <v>21.635573682613249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8.9203782108064846</v>
          </cell>
          <cell r="G27">
            <v>13.312402889024291</v>
          </cell>
        </row>
        <row r="28">
          <cell r="B28">
            <v>1.9636822450925316E-2</v>
          </cell>
          <cell r="C28">
            <v>5.5581609909232028E-4</v>
          </cell>
          <cell r="D28">
            <v>5.9209143142180875E-3</v>
          </cell>
          <cell r="E28">
            <v>1.5799138679303208E-3</v>
          </cell>
          <cell r="F28">
            <v>4.0738009793621086E-3</v>
          </cell>
          <cell r="G28">
            <v>1.0648746697053883E-4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0.39350455582313609</v>
          </cell>
          <cell r="G30">
            <v>0.39354284638113546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1.943595152801938E-3</v>
          </cell>
          <cell r="G31">
            <v>7.0856355190218202E-3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0.5589350528718614</v>
          </cell>
          <cell r="G32">
            <v>21.380693528584278</v>
          </cell>
        </row>
        <row r="33">
          <cell r="B33">
            <v>0.52400000000000047</v>
          </cell>
          <cell r="C33">
            <v>0.54529202407596833</v>
          </cell>
          <cell r="D33">
            <v>0.50316462240951687</v>
          </cell>
          <cell r="E33">
            <v>2.0502620649064438</v>
          </cell>
          <cell r="F33">
            <v>3.5228267551637362</v>
          </cell>
          <cell r="G33">
            <v>14.102832966782467</v>
          </cell>
        </row>
        <row r="34">
          <cell r="B34">
            <v>0</v>
          </cell>
          <cell r="C34">
            <v>0</v>
          </cell>
          <cell r="D34">
            <v>0.14080599505170271</v>
          </cell>
          <cell r="E34">
            <v>0.23805417087511158</v>
          </cell>
          <cell r="F34">
            <v>2.5415870163117207</v>
          </cell>
          <cell r="G34">
            <v>7.3435169214838325</v>
          </cell>
        </row>
        <row r="35">
          <cell r="B35">
            <v>3.517953999707534</v>
          </cell>
          <cell r="C35">
            <v>4.8498357454346204</v>
          </cell>
          <cell r="D35">
            <v>11.161627644528886</v>
          </cell>
          <cell r="E35">
            <v>16.258297366025332</v>
          </cell>
          <cell r="F35">
            <v>40.834405027552961</v>
          </cell>
          <cell r="G35">
            <v>64.334261714438298</v>
          </cell>
        </row>
        <row r="36">
          <cell r="B36">
            <v>2.1349390887346629</v>
          </cell>
          <cell r="C36">
            <v>3.3906663604551355</v>
          </cell>
          <cell r="D36">
            <v>4.0419321046137471</v>
          </cell>
          <cell r="E36">
            <v>4.3456932846768277</v>
          </cell>
          <cell r="F36">
            <v>1.5499492061752056</v>
          </cell>
          <cell r="G36">
            <v>3.2251082784662613E-3</v>
          </cell>
        </row>
        <row r="37">
          <cell r="B37">
            <v>0.86248322578584768</v>
          </cell>
          <cell r="C37">
            <v>1.2875837493169007</v>
          </cell>
          <cell r="D37">
            <v>3.4890331645823487</v>
          </cell>
          <cell r="E37">
            <v>3.8210149534208169</v>
          </cell>
          <cell r="F37">
            <v>4.2207934377488368</v>
          </cell>
          <cell r="G37">
            <v>4.6623857063809417</v>
          </cell>
        </row>
        <row r="38">
          <cell r="B38">
            <v>2.8396236857719668</v>
          </cell>
          <cell r="C38">
            <v>3.2944550569698281</v>
          </cell>
          <cell r="D38">
            <v>9.9666065603753466</v>
          </cell>
          <cell r="E38">
            <v>10.737735925875244</v>
          </cell>
          <cell r="F38">
            <v>26.581678840365736</v>
          </cell>
          <cell r="G38">
            <v>29.362713259233413</v>
          </cell>
        </row>
        <row r="39">
          <cell r="B39">
            <v>1.9180811095054997</v>
          </cell>
          <cell r="C39">
            <v>0.25504422554218259</v>
          </cell>
          <cell r="D39">
            <v>0.14650382890744734</v>
          </cell>
          <cell r="E39">
            <v>0.29627581947982845</v>
          </cell>
          <cell r="F39">
            <v>1.858898997498847</v>
          </cell>
          <cell r="G39">
            <v>1.9380472014749288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6.0100366472560802E-3</v>
          </cell>
          <cell r="G40">
            <v>0.75733996285380434</v>
          </cell>
        </row>
        <row r="41">
          <cell r="B41">
            <v>0.2936239438252965</v>
          </cell>
          <cell r="C41">
            <v>0.69537774572600275</v>
          </cell>
          <cell r="D41">
            <v>4.2996495594611397E-2</v>
          </cell>
          <cell r="E41">
            <v>0.64989225548801688</v>
          </cell>
          <cell r="F41">
            <v>0</v>
          </cell>
          <cell r="G41">
            <v>0</v>
          </cell>
        </row>
        <row r="42">
          <cell r="B42">
            <v>0.87279849294427236</v>
          </cell>
          <cell r="C42">
            <v>2.3100679011809846</v>
          </cell>
          <cell r="D42">
            <v>4.1935708424504963</v>
          </cell>
          <cell r="E42">
            <v>5.4799289376731553</v>
          </cell>
          <cell r="F42">
            <v>4.8882862510405163</v>
          </cell>
          <cell r="G42">
            <v>4.667351812350236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3.3493701850760811</v>
          </cell>
          <cell r="G43">
            <v>7.069974570177803</v>
          </cell>
        </row>
        <row r="44">
          <cell r="B44">
            <v>3.7119781407332888</v>
          </cell>
          <cell r="C44">
            <v>3.7138586024956575</v>
          </cell>
          <cell r="D44">
            <v>5.4331556137242965</v>
          </cell>
          <cell r="E44">
            <v>5.3724896975604262</v>
          </cell>
          <cell r="F44">
            <v>3.5123310209833671</v>
          </cell>
          <cell r="G44">
            <v>9.965372448737912E-4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1.7742702050497929</v>
          </cell>
          <cell r="G45">
            <v>10.629426812463052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6.0112618902108976E-3</v>
          </cell>
          <cell r="F46">
            <v>0.75226991671636312</v>
          </cell>
          <cell r="G46">
            <v>0.65189053506433037</v>
          </cell>
        </row>
        <row r="47">
          <cell r="B47">
            <v>0</v>
          </cell>
        </row>
        <row r="48">
          <cell r="B48">
            <v>5.8555102482027367E-2</v>
          </cell>
          <cell r="C48">
            <v>8.5285945744828558E-3</v>
          </cell>
          <cell r="D48">
            <v>1.6197228109752326E-2</v>
          </cell>
          <cell r="E48">
            <v>2.8208539751211806E-2</v>
          </cell>
          <cell r="F48">
            <v>8.7109683225632829E-3</v>
          </cell>
          <cell r="G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2.8495607994065146E-3</v>
          </cell>
          <cell r="F50">
            <v>7.1986529463717967E-3</v>
          </cell>
          <cell r="G50">
            <v>2.9111057695452866E-3</v>
          </cell>
        </row>
        <row r="51">
          <cell r="B51">
            <v>0.10385183651810148</v>
          </cell>
          <cell r="C51">
            <v>0.28261815073524865</v>
          </cell>
          <cell r="D51">
            <v>0.2857120679099816</v>
          </cell>
          <cell r="E51">
            <v>1.121844136372053</v>
          </cell>
          <cell r="F51">
            <v>0.51077454249706433</v>
          </cell>
          <cell r="G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8.1981651183619577E-3</v>
          </cell>
          <cell r="F53">
            <v>1.3123977919450385</v>
          </cell>
          <cell r="G53">
            <v>0.82142064369447998</v>
          </cell>
        </row>
        <row r="54">
          <cell r="B54">
            <v>2.645402167280678</v>
          </cell>
          <cell r="C54">
            <v>3.046100719958055</v>
          </cell>
          <cell r="D54">
            <v>3.0417637181646247</v>
          </cell>
          <cell r="E54">
            <v>3.0320897198442722</v>
          </cell>
          <cell r="F54">
            <v>2.9496715730923984</v>
          </cell>
          <cell r="G54">
            <v>2.8713449196002001</v>
          </cell>
        </row>
        <row r="55">
          <cell r="B55">
            <v>1.6586486593032406</v>
          </cell>
          <cell r="C55">
            <v>1.7385617481573947</v>
          </cell>
          <cell r="D55">
            <v>0.46348787053449098</v>
          </cell>
          <cell r="E55">
            <v>0.46347147568815356</v>
          </cell>
          <cell r="F55">
            <v>0.33771366956959475</v>
          </cell>
          <cell r="G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1.1608257494852051E-3</v>
          </cell>
          <cell r="F56">
            <v>3.3395958160634203E-3</v>
          </cell>
          <cell r="G56">
            <v>7.592276043242082E-4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1.0642852758979851E-3</v>
          </cell>
          <cell r="F57">
            <v>4.9376115300172593E-2</v>
          </cell>
          <cell r="G57">
            <v>3.0255057581488581E-2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63">
          <cell r="B63">
            <v>0.13506493272719383</v>
          </cell>
          <cell r="C63">
            <v>1.236334824046904E-2</v>
          </cell>
          <cell r="D63">
            <v>0.13500108172111264</v>
          </cell>
          <cell r="E63">
            <v>1.7617361413801661E-3</v>
          </cell>
          <cell r="F63">
            <v>0.13497599750949305</v>
          </cell>
          <cell r="G63">
            <v>0.13499382256419093</v>
          </cell>
        </row>
        <row r="64">
          <cell r="B64">
            <v>2.5194631684484583E-3</v>
          </cell>
          <cell r="C64">
            <v>2.0077959862613085E-3</v>
          </cell>
          <cell r="D64">
            <v>2.4960159373120321E-3</v>
          </cell>
          <cell r="E64">
            <v>2.203924026742154E-3</v>
          </cell>
          <cell r="F64">
            <v>0.51220599042219428</v>
          </cell>
          <cell r="G64">
            <v>3.325289164698265</v>
          </cell>
        </row>
        <row r="65">
          <cell r="B65">
            <v>2.1912815736712197E-3</v>
          </cell>
          <cell r="C65">
            <v>1.7594033438018113E-3</v>
          </cell>
          <cell r="D65">
            <v>2.1836378512190891E-3</v>
          </cell>
          <cell r="E65">
            <v>2.0208240240355254E-3</v>
          </cell>
          <cell r="F65">
            <v>1.113167379718529E-2</v>
          </cell>
          <cell r="G65">
            <v>0.11836416622212388</v>
          </cell>
        </row>
        <row r="66">
          <cell r="B66">
            <v>7.0443302633514757E-4</v>
          </cell>
          <cell r="C66">
            <v>6.9483537011000155E-4</v>
          </cell>
          <cell r="D66">
            <v>6.9081158952453124E-4</v>
          </cell>
          <cell r="E66">
            <v>4.2251019527757602E-2</v>
          </cell>
          <cell r="F66">
            <v>0.34419997675267305</v>
          </cell>
          <cell r="G66">
            <v>0.7048534961732168</v>
          </cell>
        </row>
        <row r="67">
          <cell r="B67">
            <v>1.4182454332728384E-3</v>
          </cell>
          <cell r="C67">
            <v>1.3991186261503889E-3</v>
          </cell>
          <cell r="D67">
            <v>1.3916173851134127E-3</v>
          </cell>
          <cell r="E67">
            <v>1.96778282478717E-2</v>
          </cell>
          <cell r="F67">
            <v>2.4879073095809154E-2</v>
          </cell>
          <cell r="G67">
            <v>1.5319840269699479E-2</v>
          </cell>
        </row>
        <row r="68">
          <cell r="B68">
            <v>1.4185363537640985E-3</v>
          </cell>
          <cell r="C68">
            <v>1.3993866263216713E-3</v>
          </cell>
          <cell r="D68">
            <v>1.3917630753083883E-3</v>
          </cell>
          <cell r="E68">
            <v>1.9750777683850994E-2</v>
          </cell>
          <cell r="F68">
            <v>2.5557880863357533E-2</v>
          </cell>
          <cell r="G68">
            <v>1.542620480022017E-2</v>
          </cell>
        </row>
        <row r="69">
          <cell r="B69">
            <v>7.0747597214022449E-4</v>
          </cell>
          <cell r="C69">
            <v>6.9787756138355028E-4</v>
          </cell>
          <cell r="D69">
            <v>6.9389232682198678E-4</v>
          </cell>
          <cell r="E69">
            <v>1.3614769830482246E-2</v>
          </cell>
          <cell r="F69">
            <v>1.6565351391573484E-2</v>
          </cell>
          <cell r="G69">
            <v>1.0195282729604674E-2</v>
          </cell>
        </row>
        <row r="90">
          <cell r="B90">
            <v>2.0280875359028041</v>
          </cell>
          <cell r="C90">
            <v>2.8106321016643734</v>
          </cell>
          <cell r="D90">
            <v>0.59629161243257855</v>
          </cell>
          <cell r="E90">
            <v>0</v>
          </cell>
          <cell r="F90">
            <v>0</v>
          </cell>
          <cell r="G90">
            <v>0</v>
          </cell>
        </row>
        <row r="91">
          <cell r="B91">
            <v>1.1839727961330333</v>
          </cell>
          <cell r="C91">
            <v>1.1839518197429977</v>
          </cell>
          <cell r="D91">
            <v>1.1839527128335365</v>
          </cell>
          <cell r="E91">
            <v>1.1839533543253378</v>
          </cell>
          <cell r="F91">
            <v>1.2994863865248261</v>
          </cell>
          <cell r="G91">
            <v>1.2994753572381414</v>
          </cell>
        </row>
        <row r="92">
          <cell r="B92">
            <v>1.4500240724729587</v>
          </cell>
          <cell r="C92">
            <v>3.801915350951345</v>
          </cell>
          <cell r="D92">
            <v>3.8013930780159932</v>
          </cell>
          <cell r="E92">
            <v>1.0696420869957424</v>
          </cell>
          <cell r="F92">
            <v>0</v>
          </cell>
          <cell r="G92">
            <v>0</v>
          </cell>
        </row>
        <row r="93">
          <cell r="B93">
            <v>0.21543725069298</v>
          </cell>
          <cell r="C93">
            <v>0.21752942446469489</v>
          </cell>
          <cell r="D93">
            <v>6.2269230373098727E-2</v>
          </cell>
          <cell r="E93">
            <v>6.2724743617724565E-2</v>
          </cell>
          <cell r="F93">
            <v>1.1421658494186962E-4</v>
          </cell>
          <cell r="G93">
            <v>6.6296908525935572E-6</v>
          </cell>
        </row>
        <row r="94">
          <cell r="B94">
            <v>1.9084361588438912</v>
          </cell>
          <cell r="C94">
            <v>1.7223602539882741</v>
          </cell>
          <cell r="D94">
            <v>1.4767153936887218</v>
          </cell>
          <cell r="E94">
            <v>1.1426581971877399</v>
          </cell>
          <cell r="F94">
            <v>1.4422381860120135</v>
          </cell>
          <cell r="G94">
            <v>0.86354203207924229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5.382653494706185E-5</v>
          </cell>
          <cell r="F95">
            <v>5.1655745512141643E-5</v>
          </cell>
          <cell r="G95">
            <v>5.2487338664379215E-5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7.856978261741567E-5</v>
          </cell>
          <cell r="G96">
            <v>7.5004874276311573E-5</v>
          </cell>
        </row>
        <row r="97">
          <cell r="B97">
            <v>0</v>
          </cell>
          <cell r="C97">
            <v>1.2055757409577694</v>
          </cell>
          <cell r="D97">
            <v>1.2421060534697712</v>
          </cell>
          <cell r="E97">
            <v>2.7215190634432935</v>
          </cell>
          <cell r="F97">
            <v>3.0062504108193697</v>
          </cell>
          <cell r="G97">
            <v>3.3207703719576496</v>
          </cell>
        </row>
      </sheetData>
      <sheetData sheetId="35">
        <row r="14">
          <cell r="B14">
            <v>3.0805586244489294</v>
          </cell>
          <cell r="C14">
            <v>3.0805585233698247</v>
          </cell>
          <cell r="D14">
            <v>2.7155588121628846</v>
          </cell>
          <cell r="E14">
            <v>2.6090415663461117</v>
          </cell>
          <cell r="F14">
            <v>1.2356852884349503</v>
          </cell>
          <cell r="G14">
            <v>0</v>
          </cell>
        </row>
        <row r="15">
          <cell r="B15">
            <v>7.3394300010600002</v>
          </cell>
          <cell r="C15">
            <v>7.3404858209701542</v>
          </cell>
          <cell r="D15">
            <v>7.3437310049785287</v>
          </cell>
          <cell r="E15">
            <v>7.4149887296920411</v>
          </cell>
          <cell r="F15">
            <v>7.6234156746732626</v>
          </cell>
          <cell r="G15">
            <v>7.728651997008086</v>
          </cell>
        </row>
        <row r="16">
          <cell r="B16">
            <v>4.7247299999999992</v>
          </cell>
          <cell r="C16">
            <v>4.8073145611445538</v>
          </cell>
          <cell r="D16">
            <v>4.8599661304997213</v>
          </cell>
          <cell r="E16">
            <v>4.8642929903997496</v>
          </cell>
          <cell r="F16">
            <v>4.8881009937192177</v>
          </cell>
          <cell r="G16">
            <v>4.8924371412683856</v>
          </cell>
        </row>
        <row r="17">
          <cell r="B17">
            <v>3.3394499999999998</v>
          </cell>
          <cell r="C17">
            <v>3.9711445289277227</v>
          </cell>
          <cell r="D17">
            <v>4.3595655828066722</v>
          </cell>
          <cell r="E17">
            <v>4.3595655828066722</v>
          </cell>
          <cell r="F17">
            <v>4.3595657055656618</v>
          </cell>
          <cell r="G17">
            <v>4.3595659038999175</v>
          </cell>
        </row>
        <row r="18">
          <cell r="B18">
            <v>2.0441461062309804E-2</v>
          </cell>
          <cell r="C18">
            <v>2.0380169959146446E-2</v>
          </cell>
          <cell r="D18">
            <v>1.5756508680831449E-2</v>
          </cell>
          <cell r="E18">
            <v>3.2135848791960922E-2</v>
          </cell>
          <cell r="F18">
            <v>3.8161593098763415E-2</v>
          </cell>
          <cell r="G18">
            <v>1.9287355395307022E-3</v>
          </cell>
        </row>
        <row r="19">
          <cell r="B19">
            <v>0.27651080068735434</v>
          </cell>
          <cell r="C19">
            <v>0.27650963725298439</v>
          </cell>
          <cell r="D19">
            <v>0.27650954087181223</v>
          </cell>
          <cell r="E19">
            <v>0.27599233269968193</v>
          </cell>
          <cell r="F19">
            <v>0.26467578748887233</v>
          </cell>
          <cell r="G19">
            <v>0.18715659277568719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0.160721664896192</v>
          </cell>
          <cell r="G20">
            <v>0.16744858744546215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3.6267425089211199E-6</v>
          </cell>
          <cell r="G21">
            <v>7.9466650374429462E-4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5.7547686732609886E-4</v>
          </cell>
          <cell r="G22">
            <v>4.0193288194019752E-2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>
            <v>4.8144842062160298E-2</v>
          </cell>
          <cell r="C24">
            <v>3.8573745790623781E-5</v>
          </cell>
          <cell r="D24">
            <v>3.8871380013932866E-5</v>
          </cell>
          <cell r="E24">
            <v>-5.0422048626652671E-7</v>
          </cell>
          <cell r="F24">
            <v>0</v>
          </cell>
          <cell r="G24">
            <v>0</v>
          </cell>
        </row>
        <row r="25">
          <cell r="B25">
            <v>1.30448508637864E-2</v>
          </cell>
          <cell r="C25">
            <v>2.1397878159655492E-5</v>
          </cell>
          <cell r="D25">
            <v>4.6851315142745764E-5</v>
          </cell>
          <cell r="E25">
            <v>4.0028894299357499E-2</v>
          </cell>
          <cell r="F25">
            <v>0.10381522921316501</v>
          </cell>
          <cell r="G25">
            <v>8.0341130658293847E-2</v>
          </cell>
        </row>
        <row r="26">
          <cell r="B26">
            <v>7.8399999999999997E-2</v>
          </cell>
          <cell r="C26">
            <v>7.2060270774505913E-2</v>
          </cell>
          <cell r="D26">
            <v>7.2059801377161781E-2</v>
          </cell>
          <cell r="E26">
            <v>7.0489751076416654E-2</v>
          </cell>
          <cell r="F26">
            <v>5.0471152967599513E-2</v>
          </cell>
          <cell r="G26">
            <v>2.7831862669734121E-2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2.35135907511939E-2</v>
          </cell>
          <cell r="G27">
            <v>3.9275945688945303E-2</v>
          </cell>
        </row>
        <row r="28">
          <cell r="B28">
            <v>1.5463431663757313E-3</v>
          </cell>
          <cell r="C28">
            <v>4.3862805224603382E-4</v>
          </cell>
          <cell r="D28">
            <v>4.0738103617065854E-4</v>
          </cell>
          <cell r="E28">
            <v>3.0150255294397743E-4</v>
          </cell>
          <cell r="F28">
            <v>1.2132472246028953E-4</v>
          </cell>
          <cell r="G28">
            <v>4.6651244801070654E-5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1.8005382231585699E-2</v>
          </cell>
          <cell r="G30">
            <v>1.800536124844599E-2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4.0359609894881402E-5</v>
          </cell>
          <cell r="G31">
            <v>8.6085044066830127E-5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3.3269956451800202E-3</v>
          </cell>
          <cell r="G32">
            <v>0.12726761607666789</v>
          </cell>
        </row>
        <row r="33">
          <cell r="B33">
            <v>8.7120000000000003E-2</v>
          </cell>
          <cell r="C33">
            <v>9.0660002170798351E-2</v>
          </cell>
          <cell r="D33">
            <v>8.3655919664727352E-2</v>
          </cell>
          <cell r="E33">
            <v>0.34087561369948233</v>
          </cell>
          <cell r="F33">
            <v>0.58570421775732773</v>
          </cell>
          <cell r="G33">
            <v>2.3447320174785999</v>
          </cell>
        </row>
        <row r="34">
          <cell r="B34">
            <v>0</v>
          </cell>
          <cell r="C34">
            <v>0</v>
          </cell>
          <cell r="D34">
            <v>4.4925556050438402E-2</v>
          </cell>
          <cell r="E34">
            <v>6.862403629500935E-2</v>
          </cell>
          <cell r="F34">
            <v>0.73266773322565504</v>
          </cell>
          <cell r="G34">
            <v>2.1169261099478183</v>
          </cell>
        </row>
        <row r="35">
          <cell r="B35">
            <v>1.1186210000000001</v>
          </cell>
          <cell r="C35">
            <v>1.65292701458705</v>
          </cell>
          <cell r="D35">
            <v>3.5611866466322102</v>
          </cell>
          <cell r="E35">
            <v>4.6883132193422696</v>
          </cell>
          <cell r="F35">
            <v>11.775186380271037</v>
          </cell>
          <cell r="G35">
            <v>18.551706601104499</v>
          </cell>
        </row>
        <row r="36">
          <cell r="B36">
            <v>0.67885700000000004</v>
          </cell>
          <cell r="C36">
            <v>1.1559004994492799</v>
          </cell>
          <cell r="D36">
            <v>1.2896189200442409</v>
          </cell>
          <cell r="E36">
            <v>1.2527368197581847</v>
          </cell>
          <cell r="F36">
            <v>0.44680653365175199</v>
          </cell>
          <cell r="G36">
            <v>9.3142927614562395E-4</v>
          </cell>
        </row>
        <row r="37">
          <cell r="B37">
            <v>0.27424799999999999</v>
          </cell>
          <cell r="C37">
            <v>0.43894589142040896</v>
          </cell>
          <cell r="D37">
            <v>1.1132115570888459</v>
          </cell>
          <cell r="E37">
            <v>1.1014879662231989</v>
          </cell>
          <cell r="F37">
            <v>1.2167335834836739</v>
          </cell>
          <cell r="G37">
            <v>1.344031470152433</v>
          </cell>
        </row>
        <row r="38">
          <cell r="B38">
            <v>0.90292899999999998</v>
          </cell>
          <cell r="C38">
            <v>1.12310126156801</v>
          </cell>
          <cell r="D38">
            <v>3.1799453968026201</v>
          </cell>
          <cell r="E38">
            <v>3.0953762610918298</v>
          </cell>
          <cell r="F38">
            <v>7.6627234801300688</v>
          </cell>
          <cell r="G38">
            <v>8.4644147195922894</v>
          </cell>
        </row>
        <row r="39">
          <cell r="B39">
            <v>2.5998801772813801E-2</v>
          </cell>
          <cell r="C39">
            <v>1.9228747656604178E-2</v>
          </cell>
          <cell r="D39">
            <v>1.2251404227975E-2</v>
          </cell>
          <cell r="E39">
            <v>5.8169769528825296E-3</v>
          </cell>
          <cell r="F39">
            <v>5.4529268587259302E-2</v>
          </cell>
          <cell r="G39">
            <v>5.1271265280660783E-2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2.4559639158943102E-4</v>
          </cell>
          <cell r="G40">
            <v>1.0373626503722257E-2</v>
          </cell>
        </row>
        <row r="41">
          <cell r="B41">
            <v>8.3051532820950808E-3</v>
          </cell>
          <cell r="C41">
            <v>2.3165133081638849E-2</v>
          </cell>
          <cell r="D41">
            <v>2.3164698664694283E-2</v>
          </cell>
          <cell r="E41">
            <v>2.3164589103184949E-2</v>
          </cell>
          <cell r="F41">
            <v>0</v>
          </cell>
          <cell r="G41">
            <v>0</v>
          </cell>
        </row>
        <row r="42">
          <cell r="B42">
            <v>6.4418857731046598E-3</v>
          </cell>
          <cell r="C42">
            <v>1.9287772123723887E-2</v>
          </cell>
          <cell r="D42">
            <v>4.1533016149933939E-2</v>
          </cell>
          <cell r="E42">
            <v>6.8588135530205596E-2</v>
          </cell>
          <cell r="F42">
            <v>7.9472250473914499E-2</v>
          </cell>
          <cell r="G42">
            <v>8.1820670821050281E-2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4.1521634053384701E-2</v>
          </cell>
          <cell r="G43">
            <v>9.1235642382451701E-2</v>
          </cell>
        </row>
        <row r="44">
          <cell r="B44">
            <v>4.8937796537845191E-2</v>
          </cell>
          <cell r="C44">
            <v>1.3706189139121007E-2</v>
          </cell>
          <cell r="D44">
            <v>1.3706311530876217E-2</v>
          </cell>
          <cell r="E44">
            <v>1.3545877000851778E-2</v>
          </cell>
          <cell r="F44">
            <v>1.2588528722326887E-2</v>
          </cell>
          <cell r="G44">
            <v>5.6365471287610561E-5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7.7280082775468203E-3</v>
          </cell>
          <cell r="G45">
            <v>4.8562564085838526E-2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1.35566597677287E-4</v>
          </cell>
          <cell r="F46">
            <v>4.1934901469671333E-2</v>
          </cell>
          <cell r="G46">
            <v>4.7490413530512789E-2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4.26852785957005E-5</v>
          </cell>
          <cell r="F47">
            <v>1.4251587030226991E-4</v>
          </cell>
          <cell r="G47">
            <v>6.9217902233026908E-5</v>
          </cell>
        </row>
        <row r="48">
          <cell r="B48">
            <v>3.9346229306833737E-3</v>
          </cell>
          <cell r="C48">
            <v>6.8272262069531511E-4</v>
          </cell>
          <cell r="D48">
            <v>6.8272419242797016E-4</v>
          </cell>
          <cell r="E48">
            <v>6.7566798844831411E-4</v>
          </cell>
          <cell r="F48">
            <v>1.9491182482867685E-4</v>
          </cell>
          <cell r="G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5.5679993887895195E-5</v>
          </cell>
          <cell r="F50">
            <v>1.4014552417051219E-4</v>
          </cell>
          <cell r="G50">
            <v>6.3026597577937725E-5</v>
          </cell>
        </row>
        <row r="51">
          <cell r="B51">
            <v>8.3725971071547511E-3</v>
          </cell>
          <cell r="C51">
            <v>2.494081651906388E-2</v>
          </cell>
          <cell r="D51">
            <v>2.494107584103069E-2</v>
          </cell>
          <cell r="E51">
            <v>2.4941133581770185E-2</v>
          </cell>
          <cell r="F51">
            <v>1.1524400327895975E-2</v>
          </cell>
          <cell r="G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1.5562270657421831E-4</v>
          </cell>
          <cell r="F53">
            <v>2.665949502493583E-2</v>
          </cell>
          <cell r="G53">
            <v>1.7378441071214681E-2</v>
          </cell>
        </row>
        <row r="54">
          <cell r="B54">
            <v>7.3512362003509982E-2</v>
          </cell>
          <cell r="C54">
            <v>8.47444154597779E-2</v>
          </cell>
          <cell r="D54">
            <v>8.4744211218139798E-2</v>
          </cell>
          <cell r="E54">
            <v>8.4744874061675204E-2</v>
          </cell>
          <cell r="F54">
            <v>0.16708733616548671</v>
          </cell>
          <cell r="G54">
            <v>0.10101249280652551</v>
          </cell>
        </row>
        <row r="55">
          <cell r="B55">
            <v>6.5199762810476181E-2</v>
          </cell>
          <cell r="C55">
            <v>4.7880448567434522E-2</v>
          </cell>
          <cell r="D55">
            <v>2.7178143863117801E-2</v>
          </cell>
          <cell r="E55">
            <v>2.7176551125820601E-2</v>
          </cell>
          <cell r="F55">
            <v>1.4090472921714886E-2</v>
          </cell>
          <cell r="G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3.8956505197546101E-5</v>
          </cell>
          <cell r="F56">
            <v>7.4798138100615725E-5</v>
          </cell>
          <cell r="G56">
            <v>3.410450462092979E-5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3.3110878423857199E-5</v>
          </cell>
          <cell r="F57">
            <v>1.5708854470067651E-3</v>
          </cell>
          <cell r="G57">
            <v>1.1159470036648368E-3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63">
          <cell r="B63">
            <v>0.1</v>
          </cell>
          <cell r="C63">
            <v>9.9998763887707426E-2</v>
          </cell>
          <cell r="D63">
            <v>9.999855486009944E-2</v>
          </cell>
          <cell r="E63">
            <v>9.9998460443221762E-2</v>
          </cell>
          <cell r="F63">
            <v>9.9999075428334402E-2</v>
          </cell>
          <cell r="G63">
            <v>9.9999446747895751E-2</v>
          </cell>
        </row>
        <row r="64">
          <cell r="B64">
            <v>3.6959549270204899E-4</v>
          </cell>
          <cell r="C64">
            <v>3.6984478413141819E-4</v>
          </cell>
          <cell r="D64">
            <v>3.7187536340044892E-4</v>
          </cell>
          <cell r="E64">
            <v>3.2596283921430477E-4</v>
          </cell>
          <cell r="F64">
            <v>0.22747719134165206</v>
          </cell>
          <cell r="G64">
            <v>0.94326882126790812</v>
          </cell>
        </row>
        <row r="65">
          <cell r="B65">
            <v>2.7142938404674298E-4</v>
          </cell>
          <cell r="C65">
            <v>2.7161076786601208E-4</v>
          </cell>
          <cell r="D65">
            <v>2.7307528483876809E-4</v>
          </cell>
          <cell r="E65">
            <v>2.4925718783685844E-4</v>
          </cell>
          <cell r="F65">
            <v>2.1264382130650782E-3</v>
          </cell>
          <cell r="G65">
            <v>2.7817539501293169E-2</v>
          </cell>
        </row>
        <row r="66">
          <cell r="B66">
            <v>2.5462093704238341E-4</v>
          </cell>
          <cell r="C66">
            <v>2.5487515948034473E-4</v>
          </cell>
          <cell r="D66">
            <v>2.5571500628586132E-4</v>
          </cell>
          <cell r="E66">
            <v>7.5843121519093198E-2</v>
          </cell>
          <cell r="F66">
            <v>0.21307831718614909</v>
          </cell>
          <cell r="G66">
            <v>0.32022485744961698</v>
          </cell>
        </row>
        <row r="67">
          <cell r="B67">
            <v>5.1271918726781228E-4</v>
          </cell>
          <cell r="C67">
            <v>5.1323028633812296E-4</v>
          </cell>
          <cell r="D67">
            <v>5.1525321643886316E-4</v>
          </cell>
          <cell r="E67">
            <v>1.289786679742147E-2</v>
          </cell>
          <cell r="F67">
            <v>9.3823842034648514E-3</v>
          </cell>
          <cell r="G67">
            <v>5.6786735306602106E-3</v>
          </cell>
        </row>
        <row r="68">
          <cell r="B68">
            <v>5.1282827496754863E-4</v>
          </cell>
          <cell r="C68">
            <v>5.1333936367056396E-4</v>
          </cell>
          <cell r="D68">
            <v>5.1537040720303412E-4</v>
          </cell>
          <cell r="E68">
            <v>1.2920710237506489E-2</v>
          </cell>
          <cell r="F68">
            <v>9.6336417542676588E-3</v>
          </cell>
          <cell r="G68">
            <v>5.7180766818215115E-3</v>
          </cell>
        </row>
        <row r="69">
          <cell r="B69">
            <v>2.5573426104404464E-4</v>
          </cell>
          <cell r="C69">
            <v>2.5598882980058818E-4</v>
          </cell>
          <cell r="D69">
            <v>2.5683841596425464E-4</v>
          </cell>
          <cell r="E69">
            <v>7.4310606835963858E-3</v>
          </cell>
          <cell r="F69">
            <v>6.1586259397263202E-3</v>
          </cell>
          <cell r="G69">
            <v>3.7772139074331006E-3</v>
          </cell>
        </row>
      </sheetData>
      <sheetData sheetId="36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>
            <v>0</v>
          </cell>
          <cell r="C15">
            <v>1.0558199101539131E-3</v>
          </cell>
          <cell r="D15">
            <v>3.2459080326370966E-3</v>
          </cell>
          <cell r="E15">
            <v>0.27967791437409928</v>
          </cell>
          <cell r="F15">
            <v>5.3530669753772964E-2</v>
          </cell>
          <cell r="G15">
            <v>0.17457117478001458</v>
          </cell>
        </row>
        <row r="16">
          <cell r="B16">
            <v>0</v>
          </cell>
          <cell r="C16">
            <v>2.499951400726961E-4</v>
          </cell>
          <cell r="D16">
            <v>2.3010904884815594E-3</v>
          </cell>
          <cell r="E16">
            <v>9.7702715072065031E-5</v>
          </cell>
          <cell r="F16">
            <v>6.8225889332478449E-7</v>
          </cell>
          <cell r="G16">
            <v>4.8688374378576467E-7</v>
          </cell>
        </row>
        <row r="17">
          <cell r="B17">
            <v>0</v>
          </cell>
          <cell r="C17">
            <v>1.15582806672565E-4</v>
          </cell>
          <cell r="D17">
            <v>5.6688800178598202E-8</v>
          </cell>
          <cell r="E17">
            <v>6.6070189239512098E-8</v>
          </cell>
          <cell r="F17">
            <v>1.00600708744463E-7</v>
          </cell>
          <cell r="G17">
            <v>3.2526502494666202E-7</v>
          </cell>
        </row>
        <row r="18">
          <cell r="B18">
            <v>0</v>
          </cell>
          <cell r="C18">
            <v>3.5336098301416199E-6</v>
          </cell>
          <cell r="D18">
            <v>4.1853295757434102E-3</v>
          </cell>
          <cell r="E18">
            <v>2.09481532422672E-2</v>
          </cell>
          <cell r="F18">
            <v>1.42728957183407E-6</v>
          </cell>
          <cell r="G18">
            <v>9.9376901566855004E-7</v>
          </cell>
        </row>
        <row r="19">
          <cell r="B19">
            <v>0</v>
          </cell>
          <cell r="C19">
            <v>7.0033082040769399E-8</v>
          </cell>
          <cell r="D19">
            <v>2.0263736607599799E-7</v>
          </cell>
          <cell r="E19">
            <v>6.7311437908480196E-2</v>
          </cell>
          <cell r="F19">
            <v>1.7990978152632599E-2</v>
          </cell>
          <cell r="G19">
            <v>6.0282919947674102E-8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0.160721664896192</v>
          </cell>
          <cell r="G20">
            <v>6.7269384514798301E-3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7.5323475286096904E-6</v>
          </cell>
          <cell r="G21">
            <v>1.06390092580907E-3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2.9019298075460401E-6</v>
          </cell>
          <cell r="G22">
            <v>5.3538538307955102E-2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>
            <v>0</v>
          </cell>
          <cell r="C24">
            <v>5.4336037528133102E-8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B25">
            <v>0</v>
          </cell>
          <cell r="C25">
            <v>4.1331102259415203E-8</v>
          </cell>
          <cell r="D25">
            <v>2.55102985022847E-5</v>
          </cell>
          <cell r="E25">
            <v>3.9982655798053303E-2</v>
          </cell>
          <cell r="F25">
            <v>6.3801625999014594E-2</v>
          </cell>
          <cell r="G25">
            <v>6.1406191427627E-3</v>
          </cell>
        </row>
        <row r="26">
          <cell r="B26">
            <v>0</v>
          </cell>
          <cell r="C26">
            <v>4.9144944482681E-8</v>
          </cell>
          <cell r="D26">
            <v>4.3106009289414001E-8</v>
          </cell>
          <cell r="E26">
            <v>1.04882179071021E-7</v>
          </cell>
          <cell r="F26">
            <v>9.6480868179148103E-7</v>
          </cell>
          <cell r="G26">
            <v>5.6043144756999404E-3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2.35135907511939E-2</v>
          </cell>
          <cell r="G27">
            <v>1.57623701344804E-2</v>
          </cell>
        </row>
        <row r="28">
          <cell r="B28">
            <v>0</v>
          </cell>
          <cell r="C28">
            <v>9.0330322613393904E-7</v>
          </cell>
          <cell r="D28">
            <v>1.03121161752566E-6</v>
          </cell>
          <cell r="E28">
            <v>1.2728474721981701E-6</v>
          </cell>
          <cell r="F28">
            <v>2.8178729572690202E-5</v>
          </cell>
          <cell r="G28">
            <v>1.5796166869047699E-5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1.8005382231585699E-2</v>
          </cell>
          <cell r="G30">
            <v>1.9789919421247401E-7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8.3822495558912805E-5</v>
          </cell>
          <cell r="G31">
            <v>3.0909756907618302E-6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2.1251972455373701E-2</v>
          </cell>
          <cell r="G32">
            <v>0.18373456128576399</v>
          </cell>
        </row>
        <row r="33">
          <cell r="B33">
            <v>0</v>
          </cell>
          <cell r="C33">
            <v>7.1321141341911497E-3</v>
          </cell>
          <cell r="D33">
            <v>0.40214467587499603</v>
          </cell>
          <cell r="E33">
            <v>0.17574985763318099</v>
          </cell>
          <cell r="F33">
            <v>6.5023429550865401E-6</v>
          </cell>
          <cell r="G33">
            <v>10.015634678562099</v>
          </cell>
        </row>
        <row r="34">
          <cell r="B34">
            <v>0</v>
          </cell>
          <cell r="C34">
            <v>0</v>
          </cell>
          <cell r="D34">
            <v>4.4925556050438402E-2</v>
          </cell>
          <cell r="E34">
            <v>2.36977982596288E-2</v>
          </cell>
          <cell r="F34">
            <v>0.17054335411760899</v>
          </cell>
          <cell r="G34">
            <v>1.3787030017265101</v>
          </cell>
        </row>
        <row r="35">
          <cell r="B35">
            <v>0</v>
          </cell>
          <cell r="C35">
            <v>0</v>
          </cell>
          <cell r="D35">
            <v>1.76796564663221</v>
          </cell>
          <cell r="E35">
            <v>1.19604246951417</v>
          </cell>
          <cell r="F35">
            <v>4.67154400250514</v>
          </cell>
          <cell r="G35">
            <v>10.668463389387099</v>
          </cell>
        </row>
        <row r="36">
          <cell r="B36">
            <v>0</v>
          </cell>
          <cell r="C36">
            <v>5.8177112985829305E-7</v>
          </cell>
          <cell r="D36">
            <v>4.6133827311092655E-4</v>
          </cell>
          <cell r="E36">
            <v>7.34657564046802E-7</v>
          </cell>
          <cell r="F36">
            <v>3.3758405877197626E-5</v>
          </cell>
          <cell r="G36">
            <v>8.76670972204837E-4</v>
          </cell>
        </row>
        <row r="37">
          <cell r="B37">
            <v>0</v>
          </cell>
          <cell r="C37">
            <v>5.7394399592498904E-7</v>
          </cell>
          <cell r="D37">
            <v>0.63006298314484999</v>
          </cell>
          <cell r="E37">
            <v>1.1968748710422059E-6</v>
          </cell>
          <cell r="F37">
            <v>0.28404418530666808</v>
          </cell>
          <cell r="G37">
            <v>0.944731184231694</v>
          </cell>
        </row>
        <row r="38">
          <cell r="B38">
            <v>0</v>
          </cell>
          <cell r="C38">
            <v>0</v>
          </cell>
          <cell r="D38">
            <v>2.0047163968026198</v>
          </cell>
          <cell r="E38">
            <v>6.8604853238255296E-7</v>
          </cell>
          <cell r="F38">
            <v>4.8168980539108999</v>
          </cell>
          <cell r="G38">
            <v>3.14969570436477</v>
          </cell>
        </row>
        <row r="39">
          <cell r="B39">
            <v>0</v>
          </cell>
          <cell r="C39">
            <v>1.70542555476664E-7</v>
          </cell>
          <cell r="D39">
            <v>2.8077293029192501E-6</v>
          </cell>
          <cell r="E39">
            <v>2.0960466721092301E-3</v>
          </cell>
          <cell r="F39">
            <v>4.4031496420795999E-2</v>
          </cell>
          <cell r="G39">
            <v>1.7804203540309343E-6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2.4559639158943102E-4</v>
          </cell>
          <cell r="G40">
            <v>1.0128106920033899E-2</v>
          </cell>
        </row>
        <row r="41">
          <cell r="B41">
            <v>0</v>
          </cell>
          <cell r="C41">
            <v>2.2233271070843299E-2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B42">
            <v>0</v>
          </cell>
          <cell r="C42">
            <v>1.76088062137317E-2</v>
          </cell>
          <cell r="D42">
            <v>2.22453339433894E-2</v>
          </cell>
          <cell r="E42">
            <v>2.7055347914664799E-2</v>
          </cell>
          <cell r="F42">
            <v>4.2078458182939898E-5</v>
          </cell>
          <cell r="G42">
            <v>5.7674454559608498E-2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4.1521634053384701E-2</v>
          </cell>
          <cell r="G43">
            <v>6.1102000583810198E-2</v>
          </cell>
        </row>
        <row r="44">
          <cell r="B44">
            <v>0</v>
          </cell>
          <cell r="C44">
            <v>1.4499950301002401E-7</v>
          </cell>
          <cell r="D44">
            <v>3.2454044990851701E-7</v>
          </cell>
          <cell r="E44">
            <v>1.54702533658036E-3</v>
          </cell>
          <cell r="F44">
            <v>5.9391983765624602E-8</v>
          </cell>
          <cell r="G44">
            <v>1.6803537752787801E-8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7.7280082775468203E-3</v>
          </cell>
          <cell r="G45">
            <v>4.0834572060487899E-2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1.35566597677287E-4</v>
          </cell>
          <cell r="F46">
            <v>4.16748105714939E-2</v>
          </cell>
          <cell r="G46">
            <v>1.7174789199305401E-2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4.26852785957005E-5</v>
          </cell>
          <cell r="F47">
            <v>6.6720743148770506E-5</v>
          </cell>
          <cell r="G47">
            <v>1.09438529978138E-6</v>
          </cell>
        </row>
        <row r="48">
          <cell r="B48">
            <v>0</v>
          </cell>
          <cell r="C48">
            <v>1.3976368316484511E-4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5.5679993887895195E-5</v>
          </cell>
          <cell r="F50">
            <v>6.2678208765567698E-5</v>
          </cell>
          <cell r="G50">
            <v>8.8570513933597409E-7</v>
          </cell>
        </row>
        <row r="51">
          <cell r="B51">
            <v>0</v>
          </cell>
          <cell r="C51">
            <v>1.6591104600019752E-2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1.5562270657421831E-4</v>
          </cell>
          <cell r="F53">
            <v>2.0302613258594299E-2</v>
          </cell>
          <cell r="G53">
            <v>3.6701838936309798E-7</v>
          </cell>
        </row>
        <row r="54">
          <cell r="B54">
            <v>0</v>
          </cell>
          <cell r="C54">
            <v>2.6187167714148401E-2</v>
          </cell>
          <cell r="D54">
            <v>6.5661149821336102E-3</v>
          </cell>
          <cell r="E54">
            <v>1.22253192199114E-2</v>
          </cell>
          <cell r="F54">
            <v>0.11349440171144</v>
          </cell>
          <cell r="G54">
            <v>2.45179766745548E-7</v>
          </cell>
        </row>
        <row r="55">
          <cell r="B55">
            <v>0</v>
          </cell>
          <cell r="C55">
            <v>2.7175090320151699E-2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3.8956505197546101E-5</v>
          </cell>
          <cell r="F56">
            <v>4.5247043043293799E-5</v>
          </cell>
          <cell r="G56">
            <v>1.15272427482535E-7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3.3110878423857199E-5</v>
          </cell>
          <cell r="F57">
            <v>1.52255352459468E-3</v>
          </cell>
          <cell r="G57">
            <v>1.78085385026085E-7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63">
          <cell r="B63">
            <v>0</v>
          </cell>
          <cell r="C63">
            <v>1.2309491483494699E-7</v>
          </cell>
          <cell r="D63">
            <v>1.37694582436461E-7</v>
          </cell>
          <cell r="E63">
            <v>1.4738179546961401E-7</v>
          </cell>
          <cell r="F63">
            <v>4.8874385157111897E-7</v>
          </cell>
          <cell r="G63">
            <v>2.79902136812215E-7</v>
          </cell>
        </row>
        <row r="64">
          <cell r="B64">
            <v>3.6959549270204899E-4</v>
          </cell>
          <cell r="C64">
            <v>4.9033683045680198E-7</v>
          </cell>
          <cell r="D64">
            <v>2.1738393187226499E-6</v>
          </cell>
          <cell r="E64">
            <v>5.3349219050724202E-5</v>
          </cell>
          <cell r="F64">
            <v>0.22701652121355501</v>
          </cell>
          <cell r="G64">
            <v>0.82933987407424103</v>
          </cell>
        </row>
        <row r="65">
          <cell r="B65">
            <v>2.7142938404674298E-4</v>
          </cell>
          <cell r="C65">
            <v>3.68204827613681E-7</v>
          </cell>
          <cell r="D65">
            <v>1.5664280738423099E-6</v>
          </cell>
          <cell r="E65">
            <v>4.9056909363036403E-5</v>
          </cell>
          <cell r="F65">
            <v>1.7759821858087401E-3</v>
          </cell>
          <cell r="G65">
            <v>2.68671390530952E-2</v>
          </cell>
        </row>
        <row r="66">
          <cell r="B66">
            <v>2.5251960366908698E-4</v>
          </cell>
          <cell r="C66">
            <v>3.7928543454098598E-7</v>
          </cell>
          <cell r="D66">
            <v>1.06739486531459E-6</v>
          </cell>
          <cell r="E66">
            <v>7.5657310993976198E-2</v>
          </cell>
          <cell r="F66">
            <v>0.16316638117976201</v>
          </cell>
          <cell r="G66">
            <v>0.23198883438325399</v>
          </cell>
        </row>
        <row r="67">
          <cell r="B67">
            <v>5.0727674541142494E-4</v>
          </cell>
          <cell r="C67">
            <v>7.6512608556875992E-7</v>
          </cell>
          <cell r="D67">
            <v>2.48244348184094E-6</v>
          </cell>
          <cell r="E67">
            <v>1.252423955426854E-2</v>
          </cell>
          <cell r="F67">
            <v>6.4300018519432203E-3</v>
          </cell>
          <cell r="G67">
            <v>2.3253910269106903E-3</v>
          </cell>
        </row>
        <row r="68">
          <cell r="B68">
            <v>5.0738582830758599E-4</v>
          </cell>
          <cell r="C68">
            <v>7.6552199172383705E-7</v>
          </cell>
          <cell r="D68">
            <v>2.4882301954126098E-6</v>
          </cell>
          <cell r="E68">
            <v>1.254699416069033E-2</v>
          </cell>
          <cell r="F68">
            <v>6.6797815220432395E-3</v>
          </cell>
          <cell r="G68">
            <v>2.2399769185444699E-3</v>
          </cell>
        </row>
        <row r="69">
          <cell r="B69">
            <v>2.5337458086096301E-4</v>
          </cell>
          <cell r="C69">
            <v>3.8046723888704001E-7</v>
          </cell>
          <cell r="D69">
            <v>1.07894800945313E-6</v>
          </cell>
          <cell r="E69">
            <v>7.2446126152458301E-3</v>
          </cell>
          <cell r="F69">
            <v>4.7002173227417799E-3</v>
          </cell>
          <cell r="G69">
            <v>1.38938965237411E-3</v>
          </cell>
        </row>
      </sheetData>
      <sheetData sheetId="37"/>
      <sheetData sheetId="38"/>
      <sheetData sheetId="39"/>
      <sheetData sheetId="40"/>
      <sheetData sheetId="41"/>
      <sheetData sheetId="42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0.28947541710994318</v>
          </cell>
        </row>
      </sheetData>
      <sheetData sheetId="43">
        <row r="5">
          <cell r="B5">
            <v>0.68124618976053264</v>
          </cell>
          <cell r="C5">
            <v>0.63726252784008453</v>
          </cell>
          <cell r="D5">
            <v>0.88320396834151982</v>
          </cell>
          <cell r="E5">
            <v>3.9727303584592958E-5</v>
          </cell>
          <cell r="F5">
            <v>1.7176563831455743E-4</v>
          </cell>
          <cell r="G5">
            <v>2.4892574190544181</v>
          </cell>
        </row>
        <row r="12">
          <cell r="B12">
            <v>0.19138145545463628</v>
          </cell>
          <cell r="C12">
            <v>2.2578558466633577E-5</v>
          </cell>
          <cell r="D12">
            <v>0.19158190060313723</v>
          </cell>
          <cell r="E12">
            <v>2.6975007774322861E-5</v>
          </cell>
          <cell r="F12">
            <v>9.6611944139535054E-5</v>
          </cell>
          <cell r="G12">
            <v>9.4748735144919245E-5</v>
          </cell>
        </row>
        <row r="19">
          <cell r="B19">
            <v>1.3280061099777014</v>
          </cell>
          <cell r="C19">
            <v>3.5566259597654502</v>
          </cell>
          <cell r="D19">
            <v>4.3846330244449048</v>
          </cell>
          <cell r="E19">
            <v>4.3847680696229334</v>
          </cell>
          <cell r="F19">
            <v>5.1157530105389899</v>
          </cell>
          <cell r="G19">
            <v>9.3766093889840949</v>
          </cell>
        </row>
        <row r="20">
          <cell r="B20">
            <v>5.6294160392871913</v>
          </cell>
          <cell r="C20">
            <v>6.2382302378324708</v>
          </cell>
          <cell r="D20">
            <v>6.0290593932954648</v>
          </cell>
          <cell r="E20">
            <v>6.9211479462771539</v>
          </cell>
          <cell r="F20">
            <v>6.7483337469809648</v>
          </cell>
          <cell r="G20">
            <v>6.2817626437037068</v>
          </cell>
        </row>
        <row r="21">
          <cell r="B21">
            <v>0</v>
          </cell>
          <cell r="C21">
            <v>4.7023890904184532E-5</v>
          </cell>
          <cell r="D21">
            <v>7.3790583614058309E-5</v>
          </cell>
          <cell r="E21">
            <v>2.109697839255829E-4</v>
          </cell>
          <cell r="F21">
            <v>3.8926380702189705E-4</v>
          </cell>
          <cell r="G21">
            <v>3.7164168194067084E-4</v>
          </cell>
        </row>
        <row r="28">
          <cell r="B28">
            <v>3.3535542127791852E-3</v>
          </cell>
          <cell r="C28">
            <v>5.0639766062844397E-3</v>
          </cell>
          <cell r="D28">
            <v>7.5966137018679755E-3</v>
          </cell>
          <cell r="E28">
            <v>3.1406731373123012E-2</v>
          </cell>
          <cell r="F28">
            <v>4.8472440982323848</v>
          </cell>
          <cell r="G28">
            <v>11.869856846990711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8.4450661415894079E-4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0.19897131469563775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1.5479206353230524E-4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5.5888559780870137</v>
          </cell>
        </row>
        <row r="38">
          <cell r="B38">
            <v>1.2890763427304988</v>
          </cell>
          <cell r="C38">
            <v>3.9920635717605202</v>
          </cell>
          <cell r="D38">
            <v>3.0848088056840735</v>
          </cell>
          <cell r="E38">
            <v>3.0846563098316877</v>
          </cell>
          <cell r="F38">
            <v>3.0851332097429731</v>
          </cell>
          <cell r="G38">
            <v>3.4828462860280633</v>
          </cell>
        </row>
        <row r="39">
          <cell r="B39">
            <v>1.1764762315340063</v>
          </cell>
          <cell r="C39">
            <v>3.6433590092894077</v>
          </cell>
          <cell r="D39">
            <v>2.8153524492015696</v>
          </cell>
          <cell r="E39">
            <v>2.8152132737782103</v>
          </cell>
          <cell r="F39">
            <v>2.8156485167439351</v>
          </cell>
          <cell r="G39">
            <v>3.1786215740483459</v>
          </cell>
        </row>
      </sheetData>
      <sheetData sheetId="44">
        <row r="3">
          <cell r="B3">
            <v>48.063397652170998</v>
          </cell>
          <cell r="C3">
            <v>50.716979731613932</v>
          </cell>
          <cell r="D3">
            <v>51.964936172323362</v>
          </cell>
          <cell r="E3">
            <v>53.496693608533278</v>
          </cell>
          <cell r="F3">
            <v>55.015609593532673</v>
          </cell>
          <cell r="G3">
            <v>56.405855277016151</v>
          </cell>
        </row>
        <row r="6">
          <cell r="B6">
            <v>0</v>
          </cell>
          <cell r="C6">
            <v>4.8942390698885392</v>
          </cell>
          <cell r="D6">
            <v>4.8942434530590369</v>
          </cell>
          <cell r="E6">
            <v>7.8244243338263564</v>
          </cell>
          <cell r="F6">
            <v>18.066935185509156</v>
          </cell>
          <cell r="G6">
            <v>18.45733534604987</v>
          </cell>
        </row>
        <row r="11">
          <cell r="B11">
            <v>60.070046307347752</v>
          </cell>
          <cell r="C11">
            <v>62.576431600677672</v>
          </cell>
          <cell r="D11">
            <v>63.899670446857314</v>
          </cell>
          <cell r="E11">
            <v>65.69181779831024</v>
          </cell>
          <cell r="F11">
            <v>64.139614547318658</v>
          </cell>
          <cell r="G11">
            <v>67.491703806417249</v>
          </cell>
        </row>
        <row r="18">
          <cell r="B18">
            <v>3.5600271836583843</v>
          </cell>
          <cell r="C18">
            <v>3.4647231150722129</v>
          </cell>
          <cell r="D18">
            <v>1.106191130762066</v>
          </cell>
          <cell r="E18">
            <v>1.6777054979156893E-4</v>
          </cell>
          <cell r="F18">
            <v>6.4807298563390541E-4</v>
          </cell>
          <cell r="G18">
            <v>2.0141315688538322E-4</v>
          </cell>
        </row>
        <row r="19">
          <cell r="B19">
            <v>12.728656862289595</v>
          </cell>
          <cell r="C19">
            <v>13.638431533127164</v>
          </cell>
          <cell r="D19">
            <v>13.516205505323661</v>
          </cell>
          <cell r="E19">
            <v>15.25751123556223</v>
          </cell>
          <cell r="F19">
            <v>14.978590973983575</v>
          </cell>
          <cell r="G19">
            <v>19.699884886893091</v>
          </cell>
        </row>
        <row r="21">
          <cell r="B21">
            <v>7.7980570677791858</v>
          </cell>
          <cell r="C21">
            <v>8.0801736772718424</v>
          </cell>
          <cell r="D21">
            <v>5.6083285293804286</v>
          </cell>
          <cell r="E21">
            <v>5.5456951923274129</v>
          </cell>
          <cell r="F21">
            <v>5.4538406429229527</v>
          </cell>
          <cell r="G21">
            <v>9.9615356765622156E-4</v>
          </cell>
        </row>
        <row r="22">
          <cell r="B22">
            <v>6.7668994804272242E-2</v>
          </cell>
          <cell r="C22">
            <v>8.5497785886961844E-2</v>
          </cell>
          <cell r="D22">
            <v>8.4471828299331891E-2</v>
          </cell>
          <cell r="E22">
            <v>8.579246010832263E-2</v>
          </cell>
          <cell r="F22">
            <v>5.8900805200172872E-2</v>
          </cell>
          <cell r="G22">
            <v>5.3138093429456315E-2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4.9340265227746788E-2</v>
          </cell>
          <cell r="F23">
            <v>5.0146467581720771</v>
          </cell>
          <cell r="G23">
            <v>19.003821091724127</v>
          </cell>
        </row>
        <row r="24">
          <cell r="B24">
            <v>0.74849780408265032</v>
          </cell>
          <cell r="C24">
            <v>0.94974019161520806</v>
          </cell>
          <cell r="D24">
            <v>1.1528249926722285</v>
          </cell>
          <cell r="E24">
            <v>4.0002759689711489</v>
          </cell>
          <cell r="F24">
            <v>4.0675629450466761</v>
          </cell>
          <cell r="G24">
            <v>4.1299089383501677</v>
          </cell>
        </row>
        <row r="33">
          <cell r="B33">
            <v>12.006648655176754</v>
          </cell>
          <cell r="C33">
            <v>12.710052065948371</v>
          </cell>
          <cell r="D33">
            <v>12.785335375448124</v>
          </cell>
          <cell r="E33">
            <v>14.046123846475039</v>
          </cell>
          <cell r="F33">
            <v>13.946928618916166</v>
          </cell>
          <cell r="G33">
            <v>13.852668436772925</v>
          </cell>
        </row>
        <row r="34">
          <cell r="B34">
            <v>8.897830868508203</v>
          </cell>
          <cell r="C34">
            <v>8.1046725985809154</v>
          </cell>
          <cell r="D34">
            <v>7.997327460768882</v>
          </cell>
          <cell r="E34">
            <v>6.1245985122785891</v>
          </cell>
          <cell r="F34">
            <v>2.7497301107773775</v>
          </cell>
          <cell r="G34">
            <v>5.8241933183548583E-6</v>
          </cell>
        </row>
        <row r="35">
          <cell r="B35">
            <v>2.7300133018098549</v>
          </cell>
          <cell r="C35">
            <v>2.3354823829932756</v>
          </cell>
          <cell r="D35">
            <v>1.8084458155864125E-3</v>
          </cell>
          <cell r="E35">
            <v>2.1622097807986963E-4</v>
          </cell>
          <cell r="F35">
            <v>8.0486566610165798E-4</v>
          </cell>
          <cell r="G35">
            <v>0</v>
          </cell>
        </row>
        <row r="36">
          <cell r="B36">
            <v>0</v>
          </cell>
          <cell r="C36">
            <v>0</v>
          </cell>
          <cell r="D36">
            <v>5.7264586049387586E-5</v>
          </cell>
          <cell r="E36">
            <v>0.2039978530155212</v>
          </cell>
          <cell r="F36">
            <v>0.22494496501571368</v>
          </cell>
          <cell r="G36">
            <v>0.22492462719444711</v>
          </cell>
        </row>
        <row r="37">
          <cell r="B37">
            <v>35.240144615198915</v>
          </cell>
          <cell r="C37">
            <v>30.007577487890025</v>
          </cell>
          <cell r="D37">
            <v>32.012689477932085</v>
          </cell>
          <cell r="E37">
            <v>22.341750740771527</v>
          </cell>
          <cell r="F37">
            <v>11.925156450696917</v>
          </cell>
          <cell r="G37">
            <v>1.1865286650068663</v>
          </cell>
        </row>
        <row r="38">
          <cell r="B38">
            <v>0.31222049760275228</v>
          </cell>
          <cell r="C38">
            <v>4.8908159430598084E-5</v>
          </cell>
          <cell r="D38">
            <v>2.7266378675118741</v>
          </cell>
          <cell r="E38">
            <v>2.7705345338834038</v>
          </cell>
          <cell r="F38">
            <v>2.454931908784745</v>
          </cell>
          <cell r="G38">
            <v>1.6321630944065484</v>
          </cell>
        </row>
        <row r="39">
          <cell r="B39">
            <v>0.43674914105609136</v>
          </cell>
          <cell r="C39">
            <v>0.55207105690642666</v>
          </cell>
          <cell r="D39">
            <v>4.2703934225300229</v>
          </cell>
          <cell r="E39">
            <v>8.372233475412644</v>
          </cell>
          <cell r="F39">
            <v>8.8293064427204691</v>
          </cell>
          <cell r="G39">
            <v>10.140440428440646</v>
          </cell>
        </row>
        <row r="55">
          <cell r="B55">
            <v>9.8139111005787019</v>
          </cell>
          <cell r="C55">
            <v>10.335088255903569</v>
          </cell>
          <cell r="D55">
            <v>10.335086107943797</v>
          </cell>
          <cell r="E55">
            <v>10.335086318760048</v>
          </cell>
          <cell r="F55">
            <v>10.335084849397605</v>
          </cell>
          <cell r="G55">
            <v>10.335083002113688</v>
          </cell>
        </row>
        <row r="56">
          <cell r="B56">
            <v>1.1081830189955955</v>
          </cell>
          <cell r="C56">
            <v>1.4008080076983809</v>
          </cell>
          <cell r="D56">
            <v>1.6846084025909003</v>
          </cell>
          <cell r="E56">
            <v>5.8086932031384713</v>
          </cell>
          <cell r="F56">
            <v>5.808696507829417</v>
          </cell>
          <cell r="G56">
            <v>5.8087040184351517</v>
          </cell>
        </row>
        <row r="57">
          <cell r="B57">
            <v>6.9177265593736186</v>
          </cell>
          <cell r="C57">
            <v>6.3112697191921319</v>
          </cell>
          <cell r="D57">
            <v>6.2428106256344131</v>
          </cell>
          <cell r="E57">
            <v>4.9600430924292542</v>
          </cell>
          <cell r="F57">
            <v>2.3501113042320458</v>
          </cell>
          <cell r="G57">
            <v>0.17911851396159525</v>
          </cell>
        </row>
        <row r="58">
          <cell r="B58">
            <v>1.8458302436861882</v>
          </cell>
          <cell r="C58">
            <v>1.5859093121715837</v>
          </cell>
          <cell r="D58">
            <v>1.2359596870898373E-3</v>
          </cell>
          <cell r="E58">
            <v>1.4935464060867009E-4</v>
          </cell>
          <cell r="F58">
            <v>5.677321192264572E-4</v>
          </cell>
          <cell r="G58">
            <v>0</v>
          </cell>
        </row>
        <row r="59">
          <cell r="B59">
            <v>28.61977234410038</v>
          </cell>
          <cell r="C59">
            <v>24.177383294617876</v>
          </cell>
          <cell r="D59">
            <v>28.022541726884395</v>
          </cell>
          <cell r="E59">
            <v>20.320411611115635</v>
          </cell>
          <cell r="F59">
            <v>11.829385014123874</v>
          </cell>
          <cell r="G59">
            <v>2.3657658679988298</v>
          </cell>
        </row>
        <row r="60">
          <cell r="B60">
            <v>0</v>
          </cell>
          <cell r="C60">
            <v>0</v>
          </cell>
          <cell r="D60">
            <v>9.1795676607248095E-3</v>
          </cell>
          <cell r="E60">
            <v>9.7237424967246012E-3</v>
          </cell>
          <cell r="F60">
            <v>1.0074904825540094E-2</v>
          </cell>
          <cell r="G60">
            <v>1.0080173367092847E-2</v>
          </cell>
        </row>
        <row r="61">
          <cell r="B61">
            <v>2.3674180771328248</v>
          </cell>
          <cell r="C61">
            <v>2.3075055946380938</v>
          </cell>
          <cell r="D61">
            <v>0.73838257978367949</v>
          </cell>
          <cell r="E61">
            <v>1.1240626836035131E-4</v>
          </cell>
          <cell r="F61">
            <v>4.3744926530288618E-4</v>
          </cell>
          <cell r="G61">
            <v>1.3696094668206056E-4</v>
          </cell>
        </row>
        <row r="62">
          <cell r="B62">
            <v>5.1850617746033549</v>
          </cell>
          <cell r="C62">
            <v>5.5675613349658724</v>
          </cell>
          <cell r="D62">
            <v>5.6945350996910546</v>
          </cell>
          <cell r="E62">
            <v>7.2037825925867516</v>
          </cell>
          <cell r="F62">
            <v>8.1113362693944921</v>
          </cell>
          <cell r="G62">
            <v>11.176226588382503</v>
          </cell>
        </row>
        <row r="63">
          <cell r="B63">
            <v>6.5822793463822977</v>
          </cell>
          <cell r="C63">
            <v>7.0678503556275007</v>
          </cell>
          <cell r="D63">
            <v>6.867784703097179</v>
          </cell>
          <cell r="E63">
            <v>7.0524814919154046</v>
          </cell>
          <cell r="F63">
            <v>6.0329420251738375</v>
          </cell>
          <cell r="G63">
            <v>6.7315814968446297</v>
          </cell>
        </row>
        <row r="64">
          <cell r="B64">
            <v>5.3111380615497286</v>
          </cell>
          <cell r="C64">
            <v>6.2669483662370835</v>
          </cell>
          <cell r="D64">
            <v>3.4606840402711034</v>
          </cell>
          <cell r="E64">
            <v>3.2421342783908758</v>
          </cell>
          <cell r="F64">
            <v>4.1625572587247088</v>
          </cell>
          <cell r="G64">
            <v>2.7109016782123905</v>
          </cell>
        </row>
        <row r="65">
          <cell r="B65">
            <v>0.46152680078629754</v>
          </cell>
          <cell r="C65">
            <v>0.54457829017193238</v>
          </cell>
          <cell r="D65">
            <v>2.9109553466241236</v>
          </cell>
          <cell r="E65">
            <v>3.0381232261001143</v>
          </cell>
          <cell r="F65">
            <v>3.0381254733549601</v>
          </cell>
          <cell r="G65">
            <v>3.0381252705710358</v>
          </cell>
        </row>
        <row r="66">
          <cell r="B66">
            <v>4.1173741317874102</v>
          </cell>
          <cell r="C66">
            <v>4.2663317015995368</v>
          </cell>
          <cell r="D66">
            <v>2.9611974635128653</v>
          </cell>
          <cell r="E66">
            <v>2.9281270615488753</v>
          </cell>
          <cell r="F66">
            <v>2.8796278594633189</v>
          </cell>
          <cell r="G66">
            <v>5.4190754080498489E-4</v>
          </cell>
        </row>
        <row r="67">
          <cell r="B67">
            <v>6.7668994804272242E-2</v>
          </cell>
          <cell r="C67">
            <v>8.5497785886961844E-2</v>
          </cell>
          <cell r="D67">
            <v>8.4471828299331891E-2</v>
          </cell>
          <cell r="E67">
            <v>8.579246010832263E-2</v>
          </cell>
          <cell r="F67">
            <v>5.8900805200172872E-2</v>
          </cell>
          <cell r="G67">
            <v>5.3138093429456315E-2</v>
          </cell>
        </row>
        <row r="68">
          <cell r="B68">
            <v>0.31052863929088059</v>
          </cell>
          <cell r="C68">
            <v>0.39252252146046906</v>
          </cell>
          <cell r="D68">
            <v>3.0362497234188481</v>
          </cell>
          <cell r="E68">
            <v>5.9526580010183849</v>
          </cell>
          <cell r="F68">
            <v>6.2776368807742537</v>
          </cell>
          <cell r="G68">
            <v>7.3011171084772641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1.9253971967288914E-2</v>
          </cell>
          <cell r="F69">
            <v>3.8990125029736586</v>
          </cell>
          <cell r="G69">
            <v>15.361460793344596</v>
          </cell>
        </row>
        <row r="70">
          <cell r="B70">
            <v>0</v>
          </cell>
          <cell r="C70">
            <v>4.0436366833478665</v>
          </cell>
          <cell r="D70">
            <v>4.0436403047379867</v>
          </cell>
          <cell r="E70">
            <v>5.9734845400868677</v>
          </cell>
          <cell r="F70">
            <v>13.272451163687919</v>
          </cell>
          <cell r="G70">
            <v>13.622386588464845</v>
          </cell>
        </row>
        <row r="71">
          <cell r="B71">
            <v>72.708419093071569</v>
          </cell>
          <cell r="C71">
            <v>74.352891223518853</v>
          </cell>
          <cell r="D71">
            <v>76.093363479837492</v>
          </cell>
          <cell r="E71">
            <v>76.930057352571993</v>
          </cell>
          <cell r="F71">
            <v>78.066948000540336</v>
          </cell>
          <cell r="G71">
            <v>78.694368062090575</v>
          </cell>
        </row>
      </sheetData>
      <sheetData sheetId="45">
        <row r="3">
          <cell r="B3">
            <v>56.994774574912441</v>
          </cell>
          <cell r="C3">
            <v>58.701896783050522</v>
          </cell>
          <cell r="D3">
            <v>58.514862661108808</v>
          </cell>
          <cell r="E3">
            <v>55.326145989559222</v>
          </cell>
          <cell r="F3">
            <v>52.408657646185489</v>
          </cell>
          <cell r="G3">
            <v>48.946409789072433</v>
          </cell>
        </row>
        <row r="6">
          <cell r="B6">
            <v>0</v>
          </cell>
          <cell r="C6">
            <v>6.9645363509229341</v>
          </cell>
          <cell r="D6">
            <v>2.315427277358832</v>
          </cell>
          <cell r="E6">
            <v>4.5920912816719683</v>
          </cell>
          <cell r="F6">
            <v>8.9354937173706315</v>
          </cell>
          <cell r="G6">
            <v>12.985094553701751</v>
          </cell>
        </row>
        <row r="11">
          <cell r="B11">
            <v>60.950038246023333</v>
          </cell>
          <cell r="C11">
            <v>60.406086178792492</v>
          </cell>
          <cell r="D11">
            <v>61.49707590009497</v>
          </cell>
          <cell r="E11">
            <v>60.218711452543062</v>
          </cell>
          <cell r="F11">
            <v>59.586031562342328</v>
          </cell>
          <cell r="G11">
            <v>56.057378143010311</v>
          </cell>
        </row>
        <row r="12">
          <cell r="B12">
            <v>30.256636334867888</v>
          </cell>
          <cell r="C12">
            <v>26.783927724145961</v>
          </cell>
          <cell r="D12">
            <v>24.476698308358866</v>
          </cell>
          <cell r="E12">
            <v>12.753341291034417</v>
          </cell>
          <cell r="F12">
            <v>3.3736147554204186</v>
          </cell>
          <cell r="G12">
            <v>5.9711730878104445E-6</v>
          </cell>
        </row>
        <row r="13">
          <cell r="B13">
            <v>0</v>
          </cell>
          <cell r="C13">
            <v>0</v>
          </cell>
          <cell r="D13">
            <v>3.7651911932720631E-5</v>
          </cell>
          <cell r="E13">
            <v>2.7557705345564512E-4</v>
          </cell>
          <cell r="F13">
            <v>2.5611496047039337E-4</v>
          </cell>
          <cell r="G13">
            <v>8.4970470106136717E-2</v>
          </cell>
        </row>
        <row r="14">
          <cell r="B14">
            <v>25.2601995929057</v>
          </cell>
          <cell r="C14">
            <v>25.208278204641129</v>
          </cell>
          <cell r="D14">
            <v>23.503932029072963</v>
          </cell>
          <cell r="E14">
            <v>16.512453503392447</v>
          </cell>
          <cell r="F14">
            <v>6.1585132158677993</v>
          </cell>
          <cell r="G14">
            <v>3.3411970454540656</v>
          </cell>
        </row>
        <row r="15">
          <cell r="B15">
            <v>0.28849158420531446</v>
          </cell>
          <cell r="C15">
            <v>1.5415073269365132</v>
          </cell>
          <cell r="D15">
            <v>4.6469011642371405E-3</v>
          </cell>
          <cell r="E15">
            <v>9.7936923992165568E-5</v>
          </cell>
          <cell r="F15">
            <v>3.1423235826439982E-4</v>
          </cell>
          <cell r="G15">
            <v>1.6016267773699626E-4</v>
          </cell>
        </row>
        <row r="16">
          <cell r="B16">
            <v>1.4022830741320178</v>
          </cell>
          <cell r="C16">
            <v>1.5372308872831439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>
            <v>7.7268956558401776</v>
          </cell>
          <cell r="C17">
            <v>8.3697012104097013</v>
          </cell>
          <cell r="D17">
            <v>5.979110000324571</v>
          </cell>
          <cell r="E17">
            <v>7.2827006139473323</v>
          </cell>
          <cell r="F17">
            <v>8.099822198976911</v>
          </cell>
          <cell r="G17">
            <v>7.4585956214093834</v>
          </cell>
        </row>
        <row r="19">
          <cell r="B19">
            <v>0.62700236351243477</v>
          </cell>
          <cell r="C19">
            <v>0.68734756457837476</v>
          </cell>
          <cell r="D19">
            <v>0.56684195491036959</v>
          </cell>
          <cell r="E19">
            <v>0.77162206781883058</v>
          </cell>
          <cell r="F19">
            <v>1.1384095173270821</v>
          </cell>
          <cell r="G19">
            <v>1.3103178614295308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3.9252334587884123E-4</v>
          </cell>
          <cell r="F20">
            <v>1.2525752398556234E-2</v>
          </cell>
          <cell r="G20">
            <v>8.1381970009194657E-3</v>
          </cell>
        </row>
        <row r="21">
          <cell r="B21">
            <v>2.9296079019208223</v>
          </cell>
          <cell r="C21">
            <v>3.1924603032805594</v>
          </cell>
          <cell r="D21">
            <v>4.3955996630703567</v>
          </cell>
          <cell r="E21">
            <v>11.61230468531279</v>
          </cell>
          <cell r="F21">
            <v>20.890028472430622</v>
          </cell>
          <cell r="G21">
            <v>22.840194025538914</v>
          </cell>
        </row>
        <row r="28">
          <cell r="B28">
            <v>3.9552636711108971</v>
          </cell>
          <cell r="C28">
            <v>1.7041893957419645</v>
          </cell>
          <cell r="D28">
            <v>2.9822132389861711</v>
          </cell>
          <cell r="E28">
            <v>4.8925654629838329</v>
          </cell>
          <cell r="F28">
            <v>7.1773739161568404</v>
          </cell>
          <cell r="G28">
            <v>7.1109683539378885</v>
          </cell>
        </row>
        <row r="47">
          <cell r="B47">
            <v>4.2612478573393773</v>
          </cell>
          <cell r="C47">
            <v>4.6176657958165226</v>
          </cell>
          <cell r="D47">
            <v>5.4183315755164925</v>
          </cell>
          <cell r="E47">
            <v>14.33798849993341</v>
          </cell>
          <cell r="F47">
            <v>24.870748228317314</v>
          </cell>
          <cell r="G47">
            <v>26.643310137112682</v>
          </cell>
        </row>
        <row r="48">
          <cell r="B48">
            <v>24.843071500442964</v>
          </cell>
          <cell r="C48">
            <v>22.035253293146862</v>
          </cell>
          <cell r="D48">
            <v>19.290286728950004</v>
          </cell>
          <cell r="E48">
            <v>10.419896555350174</v>
          </cell>
          <cell r="F48">
            <v>2.756503180556098</v>
          </cell>
          <cell r="G48">
            <v>7.0918105217748509E-2</v>
          </cell>
        </row>
        <row r="49">
          <cell r="B49">
            <v>24.189718242158317</v>
          </cell>
          <cell r="C49">
            <v>25.326924599046958</v>
          </cell>
          <cell r="D49">
            <v>19.216132732339041</v>
          </cell>
          <cell r="E49">
            <v>12.93728588944184</v>
          </cell>
          <cell r="F49">
            <v>3.317849429568017</v>
          </cell>
          <cell r="G49">
            <v>1.0289366557732789</v>
          </cell>
        </row>
        <row r="50">
          <cell r="B50">
            <v>0</v>
          </cell>
          <cell r="C50">
            <v>0</v>
          </cell>
          <cell r="D50">
            <v>1.8168677599848411</v>
          </cell>
          <cell r="E50">
            <v>3.0961173241548132</v>
          </cell>
          <cell r="F50">
            <v>5.1038469708746392</v>
          </cell>
          <cell r="G50">
            <v>5.1646532425811014</v>
          </cell>
        </row>
        <row r="51">
          <cell r="B51">
            <v>2.0957218900213972</v>
          </cell>
          <cell r="C51">
            <v>2.2700666040526158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B52">
            <v>5.5539048092603815</v>
          </cell>
          <cell r="C52">
            <v>6.0159375942529856</v>
          </cell>
          <cell r="D52">
            <v>4.9037774653385888</v>
          </cell>
          <cell r="E52">
            <v>5.9987517392518201</v>
          </cell>
          <cell r="F52">
            <v>6.6718138063631622</v>
          </cell>
          <cell r="G52">
            <v>6.1436362454084934</v>
          </cell>
        </row>
        <row r="53">
          <cell r="B53">
            <v>6.1735480802587341</v>
          </cell>
          <cell r="C53">
            <v>6.9002066416090226</v>
          </cell>
          <cell r="D53">
            <v>7.7368760494142306</v>
          </cell>
          <cell r="E53">
            <v>7.5157047181423451</v>
          </cell>
          <cell r="F53">
            <v>5.8117380821128979</v>
          </cell>
          <cell r="G53">
            <v>3.8957572567190728</v>
          </cell>
        </row>
        <row r="54">
          <cell r="B54">
            <v>1.8770746508097225</v>
          </cell>
          <cell r="C54">
            <v>2.1600853174743446</v>
          </cell>
          <cell r="D54">
            <v>0.66060284054977481</v>
          </cell>
          <cell r="E54">
            <v>0.82372186696448746</v>
          </cell>
          <cell r="F54">
            <v>0.98996931582995118</v>
          </cell>
          <cell r="G54">
            <v>0.83171134768675448</v>
          </cell>
        </row>
        <row r="55">
          <cell r="B55">
            <v>0.62700236351243477</v>
          </cell>
          <cell r="C55">
            <v>0.68734756457837476</v>
          </cell>
          <cell r="D55">
            <v>0.56684195491036959</v>
          </cell>
          <cell r="E55">
            <v>0.77162206781883058</v>
          </cell>
          <cell r="F55">
            <v>1.1384095173270821</v>
          </cell>
          <cell r="G55">
            <v>1.3103178614295308</v>
          </cell>
        </row>
        <row r="56">
          <cell r="B56">
            <v>1.2230712972579456</v>
          </cell>
          <cell r="C56">
            <v>1.340772779888358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B58">
            <v>0</v>
          </cell>
          <cell r="C58">
            <v>6.9645363509229341</v>
          </cell>
          <cell r="D58">
            <v>2.315427277358832</v>
          </cell>
          <cell r="E58">
            <v>4.5920912816719683</v>
          </cell>
          <cell r="F58">
            <v>8.9354937173706315</v>
          </cell>
          <cell r="G58">
            <v>12.985094553701751</v>
          </cell>
        </row>
        <row r="59">
          <cell r="B59">
            <v>73.238417331630529</v>
          </cell>
          <cell r="C59">
            <v>78.574066812222469</v>
          </cell>
          <cell r="D59">
            <v>62.438680804754831</v>
          </cell>
          <cell r="E59">
            <v>60.785287992268124</v>
          </cell>
          <cell r="F59">
            <v>59.81044766372468</v>
          </cell>
          <cell r="G59">
            <v>58.235255957924167</v>
          </cell>
        </row>
      </sheetData>
      <sheetData sheetId="46">
        <row r="3">
          <cell r="B3">
            <v>44.576907376938124</v>
          </cell>
          <cell r="C3">
            <v>44.861183619405402</v>
          </cell>
          <cell r="D3">
            <v>49.523019822346299</v>
          </cell>
          <cell r="E3">
            <v>46.917909068558778</v>
          </cell>
          <cell r="F3">
            <v>44.400150555707164</v>
          </cell>
          <cell r="G3">
            <v>40.816493273414864</v>
          </cell>
        </row>
        <row r="10">
          <cell r="B10">
            <v>5.1014131281392212E-2</v>
          </cell>
          <cell r="C10">
            <v>7.7881923438530807</v>
          </cell>
          <cell r="D10">
            <v>5.1233182839699785</v>
          </cell>
          <cell r="E10">
            <v>10.244360868944515</v>
          </cell>
          <cell r="F10">
            <v>19.570701215976772</v>
          </cell>
          <cell r="G10">
            <v>27.890355980712169</v>
          </cell>
        </row>
        <row r="15">
          <cell r="B15">
            <v>69.470104424746438</v>
          </cell>
          <cell r="C15">
            <v>70.008824003363074</v>
          </cell>
          <cell r="D15">
            <v>70.198686280609877</v>
          </cell>
          <cell r="E15">
            <v>70.922860301180435</v>
          </cell>
          <cell r="F15">
            <v>72.220685631712882</v>
          </cell>
          <cell r="G15">
            <v>66.854128401401582</v>
          </cell>
        </row>
        <row r="16">
          <cell r="B16">
            <v>60.231861136319196</v>
          </cell>
          <cell r="C16">
            <v>51.3200446679718</v>
          </cell>
          <cell r="D16">
            <v>47.953730189965434</v>
          </cell>
          <cell r="E16">
            <v>22.350131750691549</v>
          </cell>
          <cell r="F16">
            <v>4.6906555223260025</v>
          </cell>
          <cell r="G16">
            <v>7.1911766488759039E-6</v>
          </cell>
        </row>
        <row r="17">
          <cell r="B17">
            <v>0</v>
          </cell>
          <cell r="C17">
            <v>0</v>
          </cell>
          <cell r="D17">
            <v>3.7827503272423189E-5</v>
          </cell>
          <cell r="E17">
            <v>2.7716017123662116E-4</v>
          </cell>
          <cell r="F17">
            <v>2.591835168027658E-4</v>
          </cell>
          <cell r="G17">
            <v>0.17103934187153838</v>
          </cell>
        </row>
        <row r="18">
          <cell r="B18">
            <v>46.691054900954754</v>
          </cell>
          <cell r="C18">
            <v>46.029838706414296</v>
          </cell>
          <cell r="D18">
            <v>46.454660991112519</v>
          </cell>
          <cell r="E18">
            <v>33.234519167507443</v>
          </cell>
          <cell r="F18">
            <v>13.373245572127821</v>
          </cell>
          <cell r="G18">
            <v>7.944783328950269</v>
          </cell>
        </row>
        <row r="19">
          <cell r="B19">
            <v>0.31088372060092861</v>
          </cell>
          <cell r="C19">
            <v>1.9620655891726233</v>
          </cell>
          <cell r="D19">
            <v>4.8100362990598066E-3</v>
          </cell>
          <cell r="E19">
            <v>9.7929635696090728E-5</v>
          </cell>
          <cell r="F19">
            <v>3.2202104946047714E-4</v>
          </cell>
          <cell r="G19">
            <v>1.6287640057496914E-4</v>
          </cell>
        </row>
        <row r="20">
          <cell r="B20">
            <v>0.10000501841783141</v>
          </cell>
          <cell r="C20">
            <v>0.10000258658397747</v>
          </cell>
          <cell r="D20">
            <v>2.5923439891290635E-2</v>
          </cell>
          <cell r="E20">
            <v>4.6690829257318604E-4</v>
          </cell>
          <cell r="F20">
            <v>0</v>
          </cell>
          <cell r="G20">
            <v>0</v>
          </cell>
        </row>
        <row r="21">
          <cell r="B21">
            <v>8.4110454914529935</v>
          </cell>
          <cell r="C21">
            <v>9.730491978996227</v>
          </cell>
          <cell r="D21">
            <v>8.3711922640059306</v>
          </cell>
          <cell r="E21">
            <v>10.254510064312775</v>
          </cell>
          <cell r="F21">
            <v>11.232619596169972</v>
          </cell>
          <cell r="G21">
            <v>10.582599388365816</v>
          </cell>
        </row>
        <row r="22">
          <cell r="B22">
            <v>16.991258975733345</v>
          </cell>
          <cell r="C22">
            <v>17.682754482869058</v>
          </cell>
          <cell r="D22">
            <v>19.430657269121443</v>
          </cell>
          <cell r="E22">
            <v>17.683221477371617</v>
          </cell>
          <cell r="F22">
            <v>13.609628966860928</v>
          </cell>
          <cell r="G22">
            <v>8.8910542392085041</v>
          </cell>
        </row>
        <row r="23">
          <cell r="B23">
            <v>2.5068328958922099</v>
          </cell>
          <cell r="C23">
            <v>2.9280661742174225</v>
          </cell>
          <cell r="D23">
            <v>0.98219198359463356</v>
          </cell>
          <cell r="E23">
            <v>1.2944319226481753</v>
          </cell>
          <cell r="F23">
            <v>1.7962624514377206</v>
          </cell>
          <cell r="G23">
            <v>2.0366800159484506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4.1092080230613158E-4</v>
          </cell>
          <cell r="F24">
            <v>3.4276636886784284E-2</v>
          </cell>
          <cell r="G24">
            <v>2.178586895391256E-2</v>
          </cell>
        </row>
        <row r="25">
          <cell r="B25">
            <v>15.195017684062531</v>
          </cell>
          <cell r="C25">
            <v>17.635529344885676</v>
          </cell>
          <cell r="D25">
            <v>26.570283898302648</v>
          </cell>
          <cell r="E25">
            <v>44.852194045367668</v>
          </cell>
          <cell r="F25">
            <v>65.305023204083255</v>
          </cell>
          <cell r="G25">
            <v>69.250931725140731</v>
          </cell>
        </row>
        <row r="26">
          <cell r="B26">
            <v>219.90806424818021</v>
          </cell>
          <cell r="C26">
            <v>217.39761753447416</v>
          </cell>
          <cell r="D26">
            <v>219.99217418040612</v>
          </cell>
          <cell r="E26">
            <v>200.59312164798149</v>
          </cell>
          <cell r="F26">
            <v>182.26297878617163</v>
          </cell>
          <cell r="G26">
            <v>165.75317237741803</v>
          </cell>
        </row>
        <row r="102">
          <cell r="B102">
            <v>8.90804348294572</v>
          </cell>
          <cell r="C102">
            <v>7.8644571371075509</v>
          </cell>
          <cell r="D102">
            <v>0.82164704595848725</v>
          </cell>
          <cell r="E102">
            <v>0.20429691429404975</v>
          </cell>
          <cell r="F102">
            <v>1.5198973512789591E-2</v>
          </cell>
          <cell r="G102">
            <v>1.1645604382299734E-2</v>
          </cell>
        </row>
        <row r="104">
          <cell r="B104">
            <v>19.060376135848824</v>
          </cell>
          <cell r="C104">
            <v>22.070440333895288</v>
          </cell>
          <cell r="D104">
            <v>33.003856976742867</v>
          </cell>
          <cell r="E104">
            <v>51.465355689260548</v>
          </cell>
          <cell r="F104">
            <v>68.1016549698722</v>
          </cell>
          <cell r="G104">
            <v>67.385872184842867</v>
          </cell>
        </row>
        <row r="105">
          <cell r="B105">
            <v>45.124415777601264</v>
          </cell>
          <cell r="C105">
            <v>39.010292928253165</v>
          </cell>
          <cell r="D105">
            <v>33.469728055257313</v>
          </cell>
          <cell r="E105">
            <v>16.286833695194048</v>
          </cell>
          <cell r="F105">
            <v>3.1912286898616511</v>
          </cell>
          <cell r="G105">
            <v>0.12950558616606389</v>
          </cell>
        </row>
        <row r="106">
          <cell r="B106">
            <v>36.569928986588351</v>
          </cell>
          <cell r="C106">
            <v>38.626270625209948</v>
          </cell>
          <cell r="D106">
            <v>31.856323094923592</v>
          </cell>
          <cell r="E106">
            <v>22.008385798675178</v>
          </cell>
          <cell r="F106">
            <v>5.4803068926357996</v>
          </cell>
          <cell r="G106">
            <v>1.9543746379621365</v>
          </cell>
        </row>
        <row r="107">
          <cell r="B107">
            <v>0</v>
          </cell>
          <cell r="C107">
            <v>0</v>
          </cell>
          <cell r="D107">
            <v>3.865821727949422</v>
          </cell>
          <cell r="E107">
            <v>5.8900427106378395</v>
          </cell>
          <cell r="F107">
            <v>8.4250396295670065</v>
          </cell>
          <cell r="G107">
            <v>8.0768397166326569</v>
          </cell>
        </row>
        <row r="108">
          <cell r="B108">
            <v>7.2003613260838595E-2</v>
          </cell>
          <cell r="C108">
            <v>7.2001862340463768E-2</v>
          </cell>
          <cell r="D108">
            <v>2.0720850640439076E-2</v>
          </cell>
          <cell r="E108">
            <v>3.7352663405854872E-4</v>
          </cell>
          <cell r="F108">
            <v>0</v>
          </cell>
          <cell r="G108">
            <v>0</v>
          </cell>
        </row>
        <row r="109">
          <cell r="B109">
            <v>7.8264074884383333E-2</v>
          </cell>
          <cell r="C109">
            <v>6.3526501296205587E-2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>
            <v>6.5553132317061662</v>
          </cell>
          <cell r="C110">
            <v>7.6930495079652053</v>
          </cell>
          <cell r="D110">
            <v>5.8993844290785074</v>
          </cell>
          <cell r="E110">
            <v>7.0613436490353099</v>
          </cell>
          <cell r="F110">
            <v>7.4855410101958348</v>
          </cell>
          <cell r="G110">
            <v>6.8357906455124304</v>
          </cell>
        </row>
        <row r="111">
          <cell r="B111">
            <v>9.1310846218269361</v>
          </cell>
          <cell r="C111">
            <v>9.1125060524528276</v>
          </cell>
          <cell r="D111">
            <v>11.197562270195986</v>
          </cell>
          <cell r="E111">
            <v>9.8806224010797461</v>
          </cell>
          <cell r="F111">
            <v>7.0891725230336116</v>
          </cell>
          <cell r="G111">
            <v>4.3680382976735697</v>
          </cell>
        </row>
        <row r="112">
          <cell r="B112">
            <v>2.6968994454054682</v>
          </cell>
          <cell r="C112">
            <v>3.1682311944392971</v>
          </cell>
          <cell r="D112">
            <v>0.49640399804865848</v>
          </cell>
          <cell r="E112">
            <v>0.62953414264532426</v>
          </cell>
          <cell r="F112">
            <v>0.68992094754627875</v>
          </cell>
          <cell r="G112">
            <v>0.5705187045597776</v>
          </cell>
        </row>
        <row r="113">
          <cell r="B113">
            <v>0.78534487123235908</v>
          </cell>
          <cell r="C113">
            <v>0.94131779141630112</v>
          </cell>
          <cell r="D113">
            <v>3.2878036994786884E-2</v>
          </cell>
          <cell r="E113">
            <v>3.9650069623531625E-2</v>
          </cell>
          <cell r="F113">
            <v>4.3622688131976027E-2</v>
          </cell>
          <cell r="G113">
            <v>4.3320702375803335E-2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6">
          <cell r="B116">
            <v>129.0326883725817</v>
          </cell>
          <cell r="C116">
            <v>136.41028627822931</v>
          </cell>
          <cell r="D116">
            <v>125.78764476976006</v>
          </cell>
          <cell r="E116">
            <v>123.71079946602416</v>
          </cell>
          <cell r="F116">
            <v>120.09238754033392</v>
          </cell>
          <cell r="G116">
            <v>117.26626206081977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</row>
        <row r="224">
          <cell r="B224">
            <v>26.97838072304517</v>
          </cell>
          <cell r="C224">
            <v>25.930170407978569</v>
          </cell>
          <cell r="D224">
            <v>21.678973417820195</v>
          </cell>
          <cell r="E224">
            <v>22.174399782713134</v>
          </cell>
          <cell r="F224">
            <v>26.866457238013162</v>
          </cell>
          <cell r="G224">
            <v>28.758396801416051</v>
          </cell>
        </row>
        <row r="231">
          <cell r="B231">
            <v>15.552761574915182</v>
          </cell>
          <cell r="C231">
            <v>14.833169801847625</v>
          </cell>
          <cell r="D231">
            <v>3.6345335729666806</v>
          </cell>
          <cell r="E231">
            <v>2.1890568893869116</v>
          </cell>
          <cell r="F231">
            <v>1.7355311246461913</v>
          </cell>
          <cell r="G231">
            <v>1.5750001782674941</v>
          </cell>
        </row>
        <row r="233">
          <cell r="B233">
            <v>22.300291295630856</v>
          </cell>
          <cell r="C233">
            <v>25.705914167848864</v>
          </cell>
          <cell r="D233">
            <v>38.078113382863407</v>
          </cell>
          <cell r="E233">
            <v>60.672589147716273</v>
          </cell>
          <cell r="F233">
            <v>83.217268285729759</v>
          </cell>
          <cell r="G233">
            <v>85.191508566002909</v>
          </cell>
        </row>
        <row r="234">
          <cell r="B234">
            <v>52.10888013431321</v>
          </cell>
          <cell r="C234">
            <v>44.56522878276656</v>
          </cell>
          <cell r="D234">
            <v>37.856548902655838</v>
          </cell>
          <cell r="E234">
            <v>18.210627524891592</v>
          </cell>
          <cell r="F234">
            <v>3.7554746161989616</v>
          </cell>
          <cell r="G234">
            <v>0.14244229033652081</v>
          </cell>
        </row>
        <row r="235">
          <cell r="B235">
            <v>42.950386384395884</v>
          </cell>
          <cell r="C235">
            <v>44.1551053573369</v>
          </cell>
          <cell r="D235">
            <v>37.061888838483931</v>
          </cell>
          <cell r="E235">
            <v>25.239033818342392</v>
          </cell>
          <cell r="F235">
            <v>6.6292640983210669</v>
          </cell>
          <cell r="G235">
            <v>2.4131177058330109</v>
          </cell>
        </row>
        <row r="236">
          <cell r="B236">
            <v>0</v>
          </cell>
          <cell r="C236">
            <v>0</v>
          </cell>
          <cell r="D236">
            <v>4.7545823429946008</v>
          </cell>
          <cell r="E236">
            <v>7.6979330650171036</v>
          </cell>
          <cell r="F236">
            <v>11.945717222351423</v>
          </cell>
          <cell r="G236">
            <v>12.130472385325159</v>
          </cell>
        </row>
        <row r="238">
          <cell r="B238">
            <v>9.3802926035165476E-2</v>
          </cell>
          <cell r="C238">
            <v>7.5511590193187844E-2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B239">
            <v>7.8568303927370975</v>
          </cell>
          <cell r="C239">
            <v>9.1444419246817841</v>
          </cell>
          <cell r="D239">
            <v>6.8532234710423277</v>
          </cell>
          <cell r="E239">
            <v>8.3703173828114821</v>
          </cell>
          <cell r="F239">
            <v>9.123128378700768</v>
          </cell>
          <cell r="G239">
            <v>8.5590712634254338</v>
          </cell>
        </row>
        <row r="240">
          <cell r="B240">
            <v>9.6515630561821606</v>
          </cell>
          <cell r="C240">
            <v>9.7097543004688607</v>
          </cell>
          <cell r="D240">
            <v>12.49456402662789</v>
          </cell>
          <cell r="E240">
            <v>11.179851214635207</v>
          </cell>
          <cell r="F240">
            <v>8.290300708529756</v>
          </cell>
          <cell r="G240">
            <v>5.3128787752471069</v>
          </cell>
        </row>
        <row r="241">
          <cell r="B241">
            <v>2.8667026909828777</v>
          </cell>
          <cell r="C241">
            <v>3.3630703806531552</v>
          </cell>
          <cell r="D241">
            <v>0.60693253174050565</v>
          </cell>
          <cell r="E241">
            <v>0.78662388770956992</v>
          </cell>
          <cell r="F241">
            <v>0.8951966764546585</v>
          </cell>
          <cell r="G241">
            <v>0.77313170113756513</v>
          </cell>
        </row>
        <row r="242">
          <cell r="B242">
            <v>2.5068328958922099</v>
          </cell>
          <cell r="C242">
            <v>2.9280661742174225</v>
          </cell>
          <cell r="D242">
            <v>0.98219198359463356</v>
          </cell>
          <cell r="E242">
            <v>1.2944319226481753</v>
          </cell>
          <cell r="F242">
            <v>1.7962624514377206</v>
          </cell>
          <cell r="G242">
            <v>2.0366800159484506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</row>
        <row r="244">
          <cell r="B244">
            <v>5.1014131281392212E-2</v>
          </cell>
          <cell r="C244">
            <v>7.7881923438530807</v>
          </cell>
          <cell r="D244">
            <v>5.1233182839699785</v>
          </cell>
          <cell r="E244">
            <v>10.244360868944515</v>
          </cell>
          <cell r="F244">
            <v>19.570701215976772</v>
          </cell>
          <cell r="G244">
            <v>27.890355980712169</v>
          </cell>
        </row>
        <row r="245">
          <cell r="B245">
            <v>156.01106909562688</v>
          </cell>
          <cell r="C245">
            <v>162.34045668620792</v>
          </cell>
          <cell r="D245">
            <v>147.46661818758025</v>
          </cell>
          <cell r="E245">
            <v>145.88519924873728</v>
          </cell>
          <cell r="F245">
            <v>146.9588447783471</v>
          </cell>
          <cell r="G245">
            <v>146.02465886223581</v>
          </cell>
        </row>
      </sheetData>
      <sheetData sheetId="47">
        <row r="21">
          <cell r="B21">
            <v>78.699635284809773</v>
          </cell>
          <cell r="C21">
            <v>74.736349407604223</v>
          </cell>
          <cell r="D21">
            <v>70.766008445866476</v>
          </cell>
          <cell r="E21">
            <v>42.613602760707792</v>
          </cell>
          <cell r="F21">
            <v>5.5850035764274732</v>
          </cell>
          <cell r="G21">
            <v>0.15950217797893784</v>
          </cell>
        </row>
        <row r="22">
          <cell r="B22">
            <v>116.61468093447232</v>
          </cell>
          <cell r="C22">
            <v>111.0299977471492</v>
          </cell>
          <cell r="D22">
            <v>95.406868196115965</v>
          </cell>
          <cell r="E22">
            <v>65.191110779383067</v>
          </cell>
          <cell r="F22">
            <v>29.142492174194853</v>
          </cell>
          <cell r="G22">
            <v>3.2214208519374829E-2</v>
          </cell>
        </row>
        <row r="24">
          <cell r="B24">
            <v>0.28525149334438754</v>
          </cell>
          <cell r="C24">
            <v>0.1505654915749397</v>
          </cell>
          <cell r="D24">
            <v>0.23937559326478344</v>
          </cell>
          <cell r="E24">
            <v>4.9384500596942613E-3</v>
          </cell>
          <cell r="F24">
            <v>3.6266651564898248E-3</v>
          </cell>
          <cell r="G24">
            <v>2.951810584028457E-4</v>
          </cell>
        </row>
        <row r="25">
          <cell r="B25">
            <v>4.5575561726534763</v>
          </cell>
          <cell r="C25">
            <v>4.3281852668575391</v>
          </cell>
          <cell r="D25">
            <v>4.0980998441930367</v>
          </cell>
          <cell r="E25">
            <v>2.4691809578583315</v>
          </cell>
          <cell r="F25">
            <v>3.3422852886932364</v>
          </cell>
          <cell r="G25">
            <v>0.90367671317717146</v>
          </cell>
        </row>
        <row r="26">
          <cell r="B26">
            <v>2.9715732484498276</v>
          </cell>
          <cell r="C26">
            <v>2.9709469121912515</v>
          </cell>
          <cell r="D26">
            <v>4.4826195098004025</v>
          </cell>
          <cell r="E26">
            <v>3.7292173172481129</v>
          </cell>
          <cell r="F26">
            <v>2.9717795783634537</v>
          </cell>
          <cell r="G26">
            <v>17.32729478682031</v>
          </cell>
        </row>
        <row r="27">
          <cell r="B27">
            <v>2.306719375999098E-2</v>
          </cell>
          <cell r="C27">
            <v>1.6122083243326417E-2</v>
          </cell>
          <cell r="D27">
            <v>2.3808775035750111E-3</v>
          </cell>
          <cell r="E27">
            <v>5.9865953302710287E-5</v>
          </cell>
          <cell r="F27">
            <v>1.4066695695440516E-4</v>
          </cell>
          <cell r="G27">
            <v>5.8712083115355347E-5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1.94611667195798E-2</v>
          </cell>
          <cell r="F32">
            <v>0.72584727529464521</v>
          </cell>
          <cell r="G32">
            <v>1.9635639087337717</v>
          </cell>
        </row>
      </sheetData>
      <sheetData sheetId="48"/>
      <sheetData sheetId="49"/>
      <sheetData sheetId="50">
        <row r="53">
          <cell r="B53">
            <v>2.6038715907301531</v>
          </cell>
          <cell r="C53">
            <v>2.410849638369672</v>
          </cell>
          <cell r="D53">
            <v>2.3050426473076984</v>
          </cell>
          <cell r="E53">
            <v>2.2433885409040144</v>
          </cell>
          <cell r="F53">
            <v>2.303063539699457</v>
          </cell>
          <cell r="G53">
            <v>2.3405809548481304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B55">
            <v>6.4916558322227118</v>
          </cell>
          <cell r="C55">
            <v>6.0814069711971399</v>
          </cell>
          <cell r="D55">
            <v>5.6511574277191094</v>
          </cell>
          <cell r="E55">
            <v>4.8933996750217794</v>
          </cell>
          <cell r="F55">
            <v>4.0515795506477126</v>
          </cell>
          <cell r="G55">
            <v>3.1657741180915049</v>
          </cell>
        </row>
        <row r="56">
          <cell r="B56">
            <v>3.7898022998062397</v>
          </cell>
          <cell r="C56">
            <v>3.5264914258385596</v>
          </cell>
          <cell r="D56">
            <v>3.19064694590997</v>
          </cell>
          <cell r="E56">
            <v>1.9164093983372841</v>
          </cell>
          <cell r="F56">
            <v>0.62113170439771392</v>
          </cell>
          <cell r="G56">
            <v>0.18952021302668443</v>
          </cell>
        </row>
        <row r="57">
          <cell r="B57">
            <v>7.1746702636243826</v>
          </cell>
          <cell r="C57">
            <v>6.4759736098697447</v>
          </cell>
          <cell r="D57">
            <v>6.2421016937238125</v>
          </cell>
          <cell r="E57">
            <v>3.6207270378257017</v>
          </cell>
          <cell r="F57">
            <v>1.1395732675129799</v>
          </cell>
          <cell r="G57">
            <v>0.45076338078938105</v>
          </cell>
        </row>
        <row r="58">
          <cell r="B58">
            <v>14.549147191219284</v>
          </cell>
          <cell r="C58">
            <v>13.911943139570745</v>
          </cell>
          <cell r="D58">
            <v>12.546141526414958</v>
          </cell>
          <cell r="E58">
            <v>8.2266244154996766</v>
          </cell>
          <cell r="F58">
            <v>2.7431564135513753</v>
          </cell>
          <cell r="G58">
            <v>1.4360109399416392E-2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-1.4314936314106035</v>
          </cell>
          <cell r="G59">
            <v>-2.2526261206462537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-0.45980559407940019</v>
          </cell>
          <cell r="G60">
            <v>-2.4890729752114287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-0.985779355754964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-2.5602116254506859E-5</v>
          </cell>
          <cell r="G62">
            <v>-0.44488898202366073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-2.8106686053595519E-6</v>
          </cell>
          <cell r="G63">
            <v>-9.9542328361672539E-6</v>
          </cell>
        </row>
        <row r="77">
          <cell r="B77">
            <v>0.8333415217538982</v>
          </cell>
          <cell r="C77">
            <v>1.9047648029305309</v>
          </cell>
        </row>
        <row r="78">
          <cell r="B78">
            <v>6.9207605986136095E-2</v>
          </cell>
          <cell r="C78">
            <v>1.4351660154992884E-2</v>
          </cell>
        </row>
        <row r="79">
          <cell r="B79">
            <v>0.98874831920913675</v>
          </cell>
          <cell r="C79">
            <v>4.2532242495804722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dimension ref="B2:E98"/>
  <sheetViews>
    <sheetView showGridLines="0" topLeftCell="A7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1092</v>
      </c>
      <c r="C45" t="s">
        <v>1126</v>
      </c>
      <c r="D45" t="s">
        <v>240</v>
      </c>
    </row>
    <row r="46" spans="2:5" x14ac:dyDescent="0.35">
      <c r="B46" t="s">
        <v>1237</v>
      </c>
      <c r="C46" t="s">
        <v>1127</v>
      </c>
      <c r="D46" t="s">
        <v>8</v>
      </c>
      <c r="E46" t="s">
        <v>1128</v>
      </c>
    </row>
    <row r="47" spans="2:5" x14ac:dyDescent="0.35">
      <c r="B47" t="s">
        <v>1129</v>
      </c>
      <c r="C47" t="s">
        <v>1130</v>
      </c>
      <c r="D47" t="s">
        <v>1132</v>
      </c>
    </row>
    <row r="48" spans="2:5" x14ac:dyDescent="0.35">
      <c r="B48" t="s">
        <v>1131</v>
      </c>
      <c r="C48" t="s">
        <v>1231</v>
      </c>
      <c r="D48" t="s">
        <v>1230</v>
      </c>
      <c r="E48" t="s">
        <v>1232</v>
      </c>
    </row>
    <row r="49" spans="2:5" x14ac:dyDescent="0.35">
      <c r="B49" t="s">
        <v>1305</v>
      </c>
      <c r="C49" t="s">
        <v>1306</v>
      </c>
      <c r="D49" t="s">
        <v>8</v>
      </c>
    </row>
    <row r="50" spans="2:5" x14ac:dyDescent="0.35">
      <c r="B50" t="s">
        <v>1349</v>
      </c>
      <c r="C50" t="s">
        <v>1533</v>
      </c>
      <c r="D50" t="s">
        <v>1132</v>
      </c>
      <c r="E50" t="s">
        <v>1232</v>
      </c>
    </row>
    <row r="51" spans="2:5" x14ac:dyDescent="0.35">
      <c r="B51" t="s">
        <v>1371</v>
      </c>
      <c r="C51" t="s">
        <v>1472</v>
      </c>
      <c r="D51" t="s">
        <v>1230</v>
      </c>
    </row>
    <row r="52" spans="2:5" x14ac:dyDescent="0.35">
      <c r="B52" t="s">
        <v>1395</v>
      </c>
      <c r="C52" t="s">
        <v>1395</v>
      </c>
      <c r="D52" t="s">
        <v>8</v>
      </c>
    </row>
    <row r="53" spans="2:5" x14ac:dyDescent="0.35">
      <c r="B53" t="s">
        <v>1393</v>
      </c>
      <c r="C53" t="s">
        <v>1532</v>
      </c>
      <c r="D53" t="s">
        <v>1132</v>
      </c>
      <c r="E53" t="s">
        <v>1232</v>
      </c>
    </row>
    <row r="54" spans="2:5" x14ac:dyDescent="0.35">
      <c r="B54" t="s">
        <v>1394</v>
      </c>
      <c r="C54" t="s">
        <v>1471</v>
      </c>
      <c r="D54" t="s">
        <v>1230</v>
      </c>
    </row>
    <row r="55" spans="2:5" x14ac:dyDescent="0.35">
      <c r="B55" t="s">
        <v>1474</v>
      </c>
      <c r="C55" t="s">
        <v>1474</v>
      </c>
      <c r="D55" t="s">
        <v>8</v>
      </c>
    </row>
    <row r="56" spans="2:5" x14ac:dyDescent="0.35">
      <c r="B56" t="s">
        <v>1479</v>
      </c>
      <c r="C56" t="s">
        <v>1531</v>
      </c>
      <c r="D56" t="s">
        <v>1132</v>
      </c>
    </row>
    <row r="57" spans="2:5" x14ac:dyDescent="0.35">
      <c r="B57" t="s">
        <v>1481</v>
      </c>
      <c r="C57" t="s">
        <v>1487</v>
      </c>
      <c r="D57" t="s">
        <v>1230</v>
      </c>
    </row>
    <row r="58" spans="2:5" x14ac:dyDescent="0.35">
      <c r="B58" t="s">
        <v>1473</v>
      </c>
      <c r="C58" t="s">
        <v>1473</v>
      </c>
      <c r="D58" t="s">
        <v>8</v>
      </c>
    </row>
    <row r="59" spans="2:5" x14ac:dyDescent="0.35">
      <c r="B59" t="s">
        <v>1483</v>
      </c>
      <c r="C59" t="s">
        <v>1530</v>
      </c>
      <c r="D59" t="s">
        <v>1132</v>
      </c>
    </row>
    <row r="60" spans="2:5" x14ac:dyDescent="0.35">
      <c r="B60" t="s">
        <v>1485</v>
      </c>
      <c r="C60" t="s">
        <v>1535</v>
      </c>
      <c r="D60" t="s">
        <v>1230</v>
      </c>
    </row>
    <row r="61" spans="2:5" x14ac:dyDescent="0.35">
      <c r="B61" t="s">
        <v>1488</v>
      </c>
      <c r="C61" t="s">
        <v>1529</v>
      </c>
      <c r="D61" t="s">
        <v>8</v>
      </c>
    </row>
    <row r="62" spans="2:5" x14ac:dyDescent="0.35">
      <c r="B62" t="s">
        <v>1504</v>
      </c>
      <c r="C62" t="s">
        <v>1596</v>
      </c>
      <c r="D62" t="s">
        <v>1132</v>
      </c>
    </row>
    <row r="63" spans="2:5" x14ac:dyDescent="0.35">
      <c r="B63" t="s">
        <v>1519</v>
      </c>
      <c r="C63" t="s">
        <v>1534</v>
      </c>
      <c r="D63" t="s">
        <v>1230</v>
      </c>
    </row>
    <row r="64" spans="2:5" x14ac:dyDescent="0.35">
      <c r="B64" t="s">
        <v>1644</v>
      </c>
      <c r="C64" t="s">
        <v>1594</v>
      </c>
      <c r="D64" t="s">
        <v>8</v>
      </c>
    </row>
    <row r="65" spans="2:4" x14ac:dyDescent="0.35">
      <c r="B65" t="s">
        <v>1645</v>
      </c>
      <c r="C65" t="s">
        <v>1596</v>
      </c>
      <c r="D65" t="s">
        <v>1132</v>
      </c>
    </row>
    <row r="66" spans="2:4" x14ac:dyDescent="0.35">
      <c r="B66" t="s">
        <v>1646</v>
      </c>
      <c r="C66" t="s">
        <v>1595</v>
      </c>
      <c r="D66" t="s">
        <v>1230</v>
      </c>
    </row>
    <row r="67" spans="2:4" x14ac:dyDescent="0.35">
      <c r="B67" t="s">
        <v>1647</v>
      </c>
      <c r="C67" t="s">
        <v>1648</v>
      </c>
      <c r="D67" t="s">
        <v>8</v>
      </c>
    </row>
    <row r="68" spans="2:4" x14ac:dyDescent="0.35">
      <c r="B68" t="s">
        <v>1650</v>
      </c>
      <c r="C68" t="s">
        <v>1596</v>
      </c>
      <c r="D68" t="s">
        <v>1132</v>
      </c>
    </row>
    <row r="69" spans="2:4" x14ac:dyDescent="0.35">
      <c r="B69" t="s">
        <v>1651</v>
      </c>
      <c r="C69" t="s">
        <v>1649</v>
      </c>
      <c r="D69" t="s">
        <v>1230</v>
      </c>
    </row>
    <row r="70" spans="2:4" x14ac:dyDescent="0.35">
      <c r="B70" t="s">
        <v>1697</v>
      </c>
      <c r="C70" t="s">
        <v>1652</v>
      </c>
      <c r="D70" t="s">
        <v>8</v>
      </c>
    </row>
    <row r="71" spans="2:4" x14ac:dyDescent="0.35">
      <c r="B71" t="s">
        <v>1675</v>
      </c>
      <c r="C71" t="s">
        <v>1698</v>
      </c>
      <c r="D71" t="s">
        <v>1700</v>
      </c>
    </row>
    <row r="72" spans="2:4" x14ac:dyDescent="0.35">
      <c r="B72" t="s">
        <v>1686</v>
      </c>
      <c r="C72" t="s">
        <v>1699</v>
      </c>
      <c r="D72" t="s">
        <v>1701</v>
      </c>
    </row>
    <row r="73" spans="2:4" x14ac:dyDescent="0.35">
      <c r="B73" t="s">
        <v>1702</v>
      </c>
      <c r="C73" t="s">
        <v>1702</v>
      </c>
      <c r="D73" t="s">
        <v>442</v>
      </c>
    </row>
    <row r="74" spans="2:4" x14ac:dyDescent="0.35">
      <c r="B74" t="s">
        <v>1716</v>
      </c>
      <c r="C74" t="s">
        <v>1722</v>
      </c>
      <c r="D74" t="s">
        <v>442</v>
      </c>
    </row>
    <row r="75" spans="2:4" x14ac:dyDescent="0.35">
      <c r="B75" t="s">
        <v>1721</v>
      </c>
      <c r="C75" t="s">
        <v>1723</v>
      </c>
      <c r="D75" t="s">
        <v>8</v>
      </c>
    </row>
    <row r="76" spans="2:4" x14ac:dyDescent="0.35">
      <c r="B76" t="s">
        <v>1769</v>
      </c>
      <c r="C76" t="s">
        <v>1787</v>
      </c>
      <c r="D76" t="s">
        <v>8</v>
      </c>
    </row>
    <row r="77" spans="2:4" x14ac:dyDescent="0.35">
      <c r="B77" t="s">
        <v>1790</v>
      </c>
      <c r="C77" t="s">
        <v>1788</v>
      </c>
      <c r="D77" t="s">
        <v>1858</v>
      </c>
    </row>
    <row r="78" spans="2:4" x14ac:dyDescent="0.35">
      <c r="B78" t="s">
        <v>1857</v>
      </c>
      <c r="C78" t="s">
        <v>1860</v>
      </c>
      <c r="D78" t="s">
        <v>1859</v>
      </c>
    </row>
    <row r="79" spans="2:4" x14ac:dyDescent="0.35">
      <c r="B79" t="s">
        <v>1900</v>
      </c>
      <c r="C79" t="s">
        <v>1919</v>
      </c>
      <c r="D79" t="s">
        <v>1859</v>
      </c>
    </row>
    <row r="80" spans="2:4" x14ac:dyDescent="0.35">
      <c r="B80" t="s">
        <v>1901</v>
      </c>
      <c r="C80" t="s">
        <v>1920</v>
      </c>
      <c r="D80" t="s">
        <v>1859</v>
      </c>
    </row>
    <row r="81" spans="2:4" x14ac:dyDescent="0.35">
      <c r="B81" t="s">
        <v>1921</v>
      </c>
      <c r="C81" t="s">
        <v>1972</v>
      </c>
      <c r="D81" t="s">
        <v>1973</v>
      </c>
    </row>
    <row r="82" spans="2:4" x14ac:dyDescent="0.35">
      <c r="B82" t="s">
        <v>1974</v>
      </c>
      <c r="C82" t="s">
        <v>1975</v>
      </c>
      <c r="D82" t="s">
        <v>1976</v>
      </c>
    </row>
    <row r="83" spans="2:4" x14ac:dyDescent="0.35">
      <c r="B83" t="s">
        <v>1978</v>
      </c>
      <c r="C83" t="s">
        <v>1977</v>
      </c>
      <c r="D83" t="s">
        <v>1976</v>
      </c>
    </row>
    <row r="84" spans="2:4" x14ac:dyDescent="0.35">
      <c r="B84" t="s">
        <v>2122</v>
      </c>
      <c r="C84" t="s">
        <v>2132</v>
      </c>
      <c r="D84" t="s">
        <v>1976</v>
      </c>
    </row>
    <row r="85" spans="2:4" x14ac:dyDescent="0.35">
      <c r="B85" t="s">
        <v>2134</v>
      </c>
      <c r="C85" t="s">
        <v>2133</v>
      </c>
      <c r="D85" t="s">
        <v>1976</v>
      </c>
    </row>
    <row r="86" spans="2:4" x14ac:dyDescent="0.35">
      <c r="B86" t="s">
        <v>2144</v>
      </c>
      <c r="C86" t="s">
        <v>2156</v>
      </c>
      <c r="D86" t="s">
        <v>2155</v>
      </c>
    </row>
    <row r="87" spans="2:4" x14ac:dyDescent="0.35">
      <c r="B87" t="s">
        <v>2159</v>
      </c>
      <c r="C87" t="s">
        <v>2160</v>
      </c>
      <c r="D87" t="s">
        <v>2157</v>
      </c>
    </row>
    <row r="88" spans="2:4" x14ac:dyDescent="0.35">
      <c r="B88" t="s">
        <v>2179</v>
      </c>
      <c r="C88" t="s">
        <v>2180</v>
      </c>
      <c r="D88" t="s">
        <v>1858</v>
      </c>
    </row>
    <row r="89" spans="2:4" x14ac:dyDescent="0.35">
      <c r="B89" t="s">
        <v>2244</v>
      </c>
      <c r="C89" t="s">
        <v>2363</v>
      </c>
      <c r="D89" t="s">
        <v>1973</v>
      </c>
    </row>
    <row r="90" spans="2:4" x14ac:dyDescent="0.35">
      <c r="B90" t="s">
        <v>2295</v>
      </c>
      <c r="C90" t="s">
        <v>2364</v>
      </c>
      <c r="D90" t="s">
        <v>1973</v>
      </c>
    </row>
    <row r="91" spans="2:4" x14ac:dyDescent="0.35">
      <c r="B91" t="s">
        <v>2319</v>
      </c>
      <c r="C91" t="s">
        <v>2365</v>
      </c>
    </row>
    <row r="92" spans="2:4" x14ac:dyDescent="0.35">
      <c r="B92" t="s">
        <v>2343</v>
      </c>
      <c r="C92" t="s">
        <v>2366</v>
      </c>
    </row>
    <row r="93" spans="2:4" x14ac:dyDescent="0.35">
      <c r="B93" t="s">
        <v>2353</v>
      </c>
      <c r="C93" t="s">
        <v>2367</v>
      </c>
    </row>
    <row r="94" spans="2:4" x14ac:dyDescent="0.35">
      <c r="B94" t="s">
        <v>2368</v>
      </c>
      <c r="C94" t="s">
        <v>2448</v>
      </c>
      <c r="D94" t="s">
        <v>1859</v>
      </c>
    </row>
    <row r="95" spans="2:4" x14ac:dyDescent="0.35">
      <c r="B95" t="s">
        <v>2407</v>
      </c>
      <c r="C95" t="s">
        <v>2448</v>
      </c>
      <c r="D95" t="s">
        <v>1859</v>
      </c>
    </row>
    <row r="96" spans="2:4" x14ac:dyDescent="0.35">
      <c r="B96" t="s">
        <v>2430</v>
      </c>
      <c r="C96" t="s">
        <v>2448</v>
      </c>
      <c r="D96" t="s">
        <v>1859</v>
      </c>
    </row>
    <row r="97" spans="2:4" x14ac:dyDescent="0.35">
      <c r="B97" t="s">
        <v>2449</v>
      </c>
      <c r="C97" t="s">
        <v>2448</v>
      </c>
      <c r="D97" t="s">
        <v>2155</v>
      </c>
    </row>
    <row r="98" spans="2:4" x14ac:dyDescent="0.35">
      <c r="B98" t="s">
        <v>2460</v>
      </c>
      <c r="C98" t="s">
        <v>2448</v>
      </c>
      <c r="D98" t="s">
        <v>2157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dimension ref="A1:S2335"/>
  <sheetViews>
    <sheetView tabSelected="1" topLeftCell="B1" zoomScaleNormal="100" workbookViewId="0">
      <pane xSplit="4" ySplit="1" topLeftCell="F2302" activePane="bottomRight" state="frozen"/>
      <selection activeCell="B1" sqref="B1"/>
      <selection pane="topRight" activeCell="F1" sqref="F1"/>
      <selection pane="bottomLeft" activeCell="B2" sqref="B2"/>
      <selection pane="bottomRight" activeCell="D2310" sqref="D2310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83.5" customWidth="1"/>
    <col min="5" max="5" width="12.5" bestFit="1" customWidth="1"/>
    <col min="6" max="11" width="9.4140625" customWidth="1"/>
    <col min="13" max="13" width="16.4140625" bestFit="1" customWidth="1"/>
    <col min="14" max="18" width="15.414062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2040</v>
      </c>
      <c r="K1" s="2">
        <v>2050</v>
      </c>
    </row>
    <row r="2" spans="1:11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300.18625586742178</v>
      </c>
      <c r="G2" s="3">
        <f t="shared" ref="G2:K2" si="0">G3+G8+G11+G12+G16+G17+G18+G19</f>
        <v>293.51112104414585</v>
      </c>
      <c r="H2" s="3">
        <f t="shared" si="0"/>
        <v>375.26922128648943</v>
      </c>
      <c r="I2" s="3">
        <f t="shared" si="0"/>
        <v>385.90123940941959</v>
      </c>
      <c r="J2" s="3">
        <f t="shared" si="0"/>
        <v>461.84609282585291</v>
      </c>
      <c r="K2" s="3">
        <f t="shared" si="0"/>
        <v>552.13310433699451</v>
      </c>
    </row>
    <row r="3" spans="1:11" x14ac:dyDescent="0.35">
      <c r="A3" s="5" t="str">
        <f>A2</f>
        <v>STEM</v>
      </c>
      <c r="B3" s="5" t="str">
        <f t="shared" ref="B3" si="1">B2</f>
        <v>SPS1</v>
      </c>
      <c r="C3" s="5" t="str">
        <f t="shared" ref="C3" si="2">C2</f>
        <v>CH</v>
      </c>
      <c r="D3" t="s">
        <v>771</v>
      </c>
      <c r="E3" t="s">
        <v>8</v>
      </c>
      <c r="F3" s="1">
        <f>SUM(F4:F7)</f>
        <v>44.972463483694348</v>
      </c>
      <c r="G3" s="1">
        <f t="shared" ref="G3:K3" si="3">SUM(G4:G7)</f>
        <v>48.19049235673728</v>
      </c>
      <c r="H3" s="1">
        <f t="shared" si="3"/>
        <v>51.358139513412226</v>
      </c>
      <c r="I3" s="1">
        <f t="shared" si="3"/>
        <v>51.358169845268222</v>
      </c>
      <c r="J3" s="1">
        <f t="shared" si="3"/>
        <v>51.358177338066135</v>
      </c>
      <c r="K3" s="1">
        <f t="shared" si="3"/>
        <v>60.460982002588246</v>
      </c>
    </row>
    <row r="4" spans="1:11" x14ac:dyDescent="0.35">
      <c r="A4" s="5" t="str">
        <f t="shared" ref="A4:A53" si="4">A3</f>
        <v>STEM</v>
      </c>
      <c r="B4" s="5" t="str">
        <f t="shared" ref="B4:B60" si="5">B3</f>
        <v>SPS1</v>
      </c>
      <c r="C4" s="5" t="str">
        <f t="shared" ref="C4:C60" si="6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11.111884108761041</v>
      </c>
      <c r="G4" s="1" cm="1">
        <f t="array" ref="G4">SUMPRODUCT(("RNWWOD1"=[1]OUT_PrimaryEnergyCons!$A$1:$A$1000)*1,[1]OUT_PrimaryEnergyCons!E$1:E$1000)</f>
        <v>11.952891359139555</v>
      </c>
      <c r="H4" s="1" cm="1">
        <f t="array" ref="H4">SUMPRODUCT(("RNWWOD1"=[1]OUT_PrimaryEnergyCons!$A$1:$A$1000)*1,[1]OUT_PrimaryEnergyCons!F$1:F$1000)</f>
        <v>13.214396615497654</v>
      </c>
      <c r="I4" s="1" cm="1">
        <f t="array" ref="I4">SUMPRODUCT(("RNWWOD1"=[1]OUT_PrimaryEnergyCons!$A$1:$A$1000)*1,[1]OUT_PrimaryEnergyCons!G$1:G$1000)</f>
        <v>15.31691415780252</v>
      </c>
      <c r="J4" s="1" cm="1">
        <f t="array" ref="J4">SUMPRODUCT(("RNWWOD1"=[1]OUT_PrimaryEnergyCons!$A$1:$A$1000)*1,[1]OUT_PrimaryEnergyCons!H$1:H$1000)</f>
        <v>16.266400857581051</v>
      </c>
      <c r="K4" s="1" cm="1">
        <f t="array" ref="K4">SUMPRODUCT(("RNWWOD1"=[1]OUT_PrimaryEnergyCons!$A$1:$A$1000)*1,[1]OUT_PrimaryEnergyCons!I$1:I$1000)</f>
        <v>16.957000263745243</v>
      </c>
    </row>
    <row r="5" spans="1:11" x14ac:dyDescent="0.35">
      <c r="A5" s="5" t="str">
        <f t="shared" si="4"/>
        <v>STEM</v>
      </c>
      <c r="B5" s="5" t="str">
        <f t="shared" si="5"/>
        <v>SPS1</v>
      </c>
      <c r="C5" s="5" t="str">
        <f t="shared" si="6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7.5116772163570191</v>
      </c>
      <c r="G5" s="1" cm="1">
        <f t="array" ref="G5">SUMPRODUCT(("RNWWOD2"=[1]OUT_PrimaryEnergyCons!$A$1:$A$1000)*1,[1]OUT_PrimaryEnergyCons!E$1:E$1000)</f>
        <v>7.5431492002936835</v>
      </c>
      <c r="H5" s="1" cm="1">
        <f t="array" ref="H5">SUMPRODUCT(("RNWWOD2"=[1]OUT_PrimaryEnergyCons!$A$1:$A$1000)*1,[1]OUT_PrimaryEnergyCons!F$1:F$1000)</f>
        <v>7.5903515468217648</v>
      </c>
      <c r="I5" s="1" cm="1">
        <f t="array" ref="I5">SUMPRODUCT(("RNWWOD2"=[1]OUT_PrimaryEnergyCons!$A$1:$A$1000)*1,[1]OUT_PrimaryEnergyCons!G$1:G$1000)</f>
        <v>7.6690309240460071</v>
      </c>
      <c r="J5" s="1" cm="1">
        <f t="array" ref="J5">SUMPRODUCT(("RNWWOD2"=[1]OUT_PrimaryEnergyCons!$A$1:$A$1000)*1,[1]OUT_PrimaryEnergyCons!H$1:H$1000)</f>
        <v>7.6690311578538273</v>
      </c>
      <c r="K5" s="1" cm="1">
        <f t="array" ref="K5">SUMPRODUCT(("RNWWOD2"=[1]OUT_PrimaryEnergyCons!$A$1:$A$1000)*1,[1]OUT_PrimaryEnergyCons!I$1:I$1000)</f>
        <v>7.6690330946267364</v>
      </c>
    </row>
    <row r="6" spans="1:11" x14ac:dyDescent="0.35">
      <c r="A6" s="5" t="str">
        <f t="shared" si="4"/>
        <v>STEM</v>
      </c>
      <c r="B6" s="5" t="str">
        <f t="shared" si="5"/>
        <v>SPS1</v>
      </c>
      <c r="C6" s="5" t="str">
        <f t="shared" si="6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3.1682510722687232</v>
      </c>
      <c r="G6" s="1" cm="1">
        <f t="array" ref="G6">SUMPRODUCT(("RNWWOD3"=[1]OUT_PrimaryEnergyCons!$A$1:$A$1000)*1,[1]OUT_PrimaryEnergyCons!E$1:E$1000)</f>
        <v>3.4956757074372615</v>
      </c>
      <c r="H6" s="1" cm="1">
        <f t="array" ref="H6">SUMPRODUCT(("RNWWOD3"=[1]OUT_PrimaryEnergyCons!$A$1:$A$1000)*1,[1]OUT_PrimaryEnergyCons!F$1:F$1000)</f>
        <v>3.9868180812407656</v>
      </c>
      <c r="I6" s="1" cm="1">
        <f t="array" ref="I6">SUMPRODUCT(("RNWWOD3"=[1]OUT_PrimaryEnergyCons!$A$1:$A$1000)*1,[1]OUT_PrimaryEnergyCons!G$1:G$1000)</f>
        <v>4.8053880242702149</v>
      </c>
      <c r="J6" s="1" cm="1">
        <f t="array" ref="J6">SUMPRODUCT(("RNWWOD3"=[1]OUT_PrimaryEnergyCons!$A$1:$A$1000)*1,[1]OUT_PrimaryEnergyCons!H$1:H$1000)</f>
        <v>4.8053904683061326</v>
      </c>
      <c r="K6" s="1" cm="1">
        <f t="array" ref="K6">SUMPRODUCT(("RNWWOD3"=[1]OUT_PrimaryEnergyCons!$A$1:$A$1000)*1,[1]OUT_PrimaryEnergyCons!I$1:I$1000)</f>
        <v>4.8053884470013726</v>
      </c>
    </row>
    <row r="7" spans="1:11" x14ac:dyDescent="0.35">
      <c r="A7" s="5" t="str">
        <f t="shared" si="4"/>
        <v>STEM</v>
      </c>
      <c r="B7" s="5" t="str">
        <f t="shared" si="5"/>
        <v>SPS1</v>
      </c>
      <c r="C7" s="5" t="str">
        <f t="shared" si="6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23.180651086307563</v>
      </c>
      <c r="G7" s="1" cm="1">
        <f t="array" ref="G7">SUMPRODUCT(("RNWWOD4"=[1]OUT_PrimaryEnergyCons!$A$1:$A$1000)*1+("RNWWOD5"=[1]OUT_PrimaryEnergyCons!$A$1:$A$1000)*1,[1]OUT_PrimaryEnergyCons!E$1:E$1000)</f>
        <v>25.198776089866783</v>
      </c>
      <c r="H7" s="1" cm="1">
        <f t="array" ref="H7">SUMPRODUCT(("RNWWOD4"=[1]OUT_PrimaryEnergyCons!$A$1:$A$1000)*1+("RNWWOD5"=[1]OUT_PrimaryEnergyCons!$A$1:$A$1000)*1,[1]OUT_PrimaryEnergyCons!F$1:F$1000)</f>
        <v>26.566573269852043</v>
      </c>
      <c r="I7" s="1" cm="1">
        <f t="array" ref="I7">SUMPRODUCT(("RNWWOD4"=[1]OUT_PrimaryEnergyCons!$A$1:$A$1000)*1+("RNWWOD5"=[1]OUT_PrimaryEnergyCons!$A$1:$A$1000)*1,[1]OUT_PrimaryEnergyCons!G$1:G$1000)</f>
        <v>23.566836739149476</v>
      </c>
      <c r="J7" s="1" cm="1">
        <f t="array" ref="J7">SUMPRODUCT(("RNWWOD4"=[1]OUT_PrimaryEnergyCons!$A$1:$A$1000)*1+("RNWWOD5"=[1]OUT_PrimaryEnergyCons!$A$1:$A$1000)*1,[1]OUT_PrimaryEnergyCons!H$1:H$1000)</f>
        <v>22.617354854325125</v>
      </c>
      <c r="K7" s="1" cm="1">
        <f t="array" ref="K7">SUMPRODUCT(("RNWWOD4"=[1]OUT_PrimaryEnergyCons!$A$1:$A$1000)*1+("RNWWOD5"=[1]OUT_PrimaryEnergyCons!$A$1:$A$1000)*1,[1]OUT_PrimaryEnergyCons!I$1:I$1000)</f>
        <v>31.029560197214892</v>
      </c>
    </row>
    <row r="8" spans="1:11" x14ac:dyDescent="0.35">
      <c r="A8" s="5" t="str">
        <f t="shared" si="4"/>
        <v>STEM</v>
      </c>
      <c r="B8" s="5" t="str">
        <f t="shared" si="5"/>
        <v>SPS1</v>
      </c>
      <c r="C8" s="5" t="str">
        <f t="shared" si="6"/>
        <v>CH</v>
      </c>
      <c r="D8" t="s">
        <v>772</v>
      </c>
      <c r="E8" t="s">
        <v>8</v>
      </c>
      <c r="F8" s="1">
        <f>SUM(F9:F10)</f>
        <v>70.031558427365653</v>
      </c>
      <c r="G8" s="1">
        <f t="shared" ref="G8:K8" si="7">SUM(G9:G10)</f>
        <v>70.696982549168979</v>
      </c>
      <c r="H8" s="1">
        <f t="shared" si="7"/>
        <v>70.304047742838037</v>
      </c>
      <c r="I8" s="1">
        <f t="shared" si="7"/>
        <v>71.062267989519569</v>
      </c>
      <c r="J8" s="1">
        <f t="shared" si="7"/>
        <v>71.18183423955557</v>
      </c>
      <c r="K8" s="1">
        <f t="shared" si="7"/>
        <v>71.875417162592171</v>
      </c>
    </row>
    <row r="9" spans="1:11" x14ac:dyDescent="0.35">
      <c r="A9" s="5" t="str">
        <f t="shared" si="4"/>
        <v>STEM</v>
      </c>
      <c r="B9" s="5" t="str">
        <f t="shared" si="5"/>
        <v>SPS1</v>
      </c>
      <c r="C9" s="5" t="str">
        <f t="shared" si="6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35.931107428734734</v>
      </c>
      <c r="G9" s="1" cm="1">
        <f t="array" ref="G9">SUMPRODUCT(("RNNWWST1"=[1]OUT_PrimaryEnergyCons!$A$1:$A$1000)*1,[1]OUT_PrimaryEnergyCons!E$1:E$1000)</f>
        <v>35.882392173046433</v>
      </c>
      <c r="H9" s="1" cm="1">
        <f t="array" ref="H9">SUMPRODUCT(("RNNWWST1"=[1]OUT_PrimaryEnergyCons!$A$1:$A$1000)*1,[1]OUT_PrimaryEnergyCons!F$1:F$1000)</f>
        <v>35.489453578256089</v>
      </c>
      <c r="I9" s="1" cm="1">
        <f t="array" ref="I9">SUMPRODUCT(("RNNWWST1"=[1]OUT_PrimaryEnergyCons!$A$1:$A$1000)*1,[1]OUT_PrimaryEnergyCons!G$1:G$1000)</f>
        <v>35.039965743155484</v>
      </c>
      <c r="J9" s="1" cm="1">
        <f t="array" ref="J9">SUMPRODUCT(("RNNWWST1"=[1]OUT_PrimaryEnergyCons!$A$1:$A$1000)*1,[1]OUT_PrimaryEnergyCons!H$1:H$1000)</f>
        <v>35.159477586631297</v>
      </c>
      <c r="K9" s="1" cm="1">
        <f t="array" ref="K9">SUMPRODUCT(("RNNWWST1"=[1]OUT_PrimaryEnergyCons!$A$1:$A$1000)*1,[1]OUT_PrimaryEnergyCons!I$1:I$1000)</f>
        <v>35.852891553976519</v>
      </c>
    </row>
    <row r="10" spans="1:11" x14ac:dyDescent="0.35">
      <c r="A10" s="5" t="str">
        <f t="shared" si="4"/>
        <v>STEM</v>
      </c>
      <c r="B10" s="5" t="str">
        <f t="shared" si="5"/>
        <v>SPS1</v>
      </c>
      <c r="C10" s="5" t="str">
        <f t="shared" si="6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34.100450998630919</v>
      </c>
      <c r="G10" s="1" cm="1">
        <f t="array" ref="G10">SUMPRODUCT(("RNWWST1"=[1]OUT_PrimaryEnergyCons!$A$1:$A$1000)*1,[1]OUT_PrimaryEnergyCons!E$1:E$1000)</f>
        <v>34.814590376122538</v>
      </c>
      <c r="H10" s="1" cm="1">
        <f t="array" ref="H10">SUMPRODUCT(("RNWWST1"=[1]OUT_PrimaryEnergyCons!$A$1:$A$1000)*1,[1]OUT_PrimaryEnergyCons!F$1:F$1000)</f>
        <v>34.814594164581955</v>
      </c>
      <c r="I10" s="1" cm="1">
        <f t="array" ref="I10">SUMPRODUCT(("RNWWST1"=[1]OUT_PrimaryEnergyCons!$A$1:$A$1000)*1,[1]OUT_PrimaryEnergyCons!G$1:G$1000)</f>
        <v>36.022302246364077</v>
      </c>
      <c r="J10" s="1" cm="1">
        <f t="array" ref="J10">SUMPRODUCT(("RNWWST1"=[1]OUT_PrimaryEnergyCons!$A$1:$A$1000)*1,[1]OUT_PrimaryEnergyCons!H$1:H$1000)</f>
        <v>36.022356652924266</v>
      </c>
      <c r="K10" s="1" cm="1">
        <f t="array" ref="K10">SUMPRODUCT(("RNWWST1"=[1]OUT_PrimaryEnergyCons!$A$1:$A$1000)*1,[1]OUT_PrimaryEnergyCons!I$1:I$1000)</f>
        <v>36.022525608615652</v>
      </c>
    </row>
    <row r="11" spans="1:11" x14ac:dyDescent="0.35">
      <c r="A11" s="5" t="str">
        <f t="shared" si="4"/>
        <v>STEM</v>
      </c>
      <c r="B11" s="5" t="str">
        <f t="shared" si="5"/>
        <v>SPS1</v>
      </c>
      <c r="C11" s="5" t="str">
        <f t="shared" si="6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3.7980974745362204</v>
      </c>
      <c r="G11" s="1" cm="1">
        <f t="array" ref="G11">SUMPRODUCT(("mnr"=[1]OUT_PrimaryEnergyCons!$C$1:$C$1000)*1,[1]OUT_PrimaryEnergyCons!E$1:E$1000)</f>
        <v>10.171950244929162</v>
      </c>
      <c r="H11" s="1" cm="1">
        <f t="array" ref="H11">SUMPRODUCT(("mnr"=[1]OUT_PrimaryEnergyCons!$C$1:$C$1000)*1,[1]OUT_PrimaryEnergyCons!F$1:F$1000)</f>
        <v>12.540050449912423</v>
      </c>
      <c r="I11" s="1" cm="1">
        <f t="array" ref="I11">SUMPRODUCT(("mnr"=[1]OUT_PrimaryEnergyCons!$C$1:$C$1000)*1,[1]OUT_PrimaryEnergyCons!G$1:G$1000)</f>
        <v>12.540436679121591</v>
      </c>
      <c r="J11" s="1" cm="1">
        <f t="array" ref="J11">SUMPRODUCT(("mnr"=[1]OUT_PrimaryEnergyCons!$C$1:$C$1000)*1,[1]OUT_PrimaryEnergyCons!H$1:H$1000)</f>
        <v>14.6310536101415</v>
      </c>
      <c r="K11" s="1" cm="1">
        <f t="array" ref="K11">SUMPRODUCT(("mnr"=[1]OUT_PrimaryEnergyCons!$C$1:$C$1000)*1,[1]OUT_PrimaryEnergyCons!I$1:I$1000)</f>
        <v>26.8171028524945</v>
      </c>
    </row>
    <row r="12" spans="1:11" x14ac:dyDescent="0.35">
      <c r="A12" s="5" t="str">
        <f t="shared" si="4"/>
        <v>STEM</v>
      </c>
      <c r="B12" s="5" t="str">
        <f t="shared" si="5"/>
        <v>SPS1</v>
      </c>
      <c r="C12" s="5" t="str">
        <f t="shared" si="6"/>
        <v>CH</v>
      </c>
      <c r="D12" t="s">
        <v>774</v>
      </c>
      <c r="E12" t="s">
        <v>8</v>
      </c>
      <c r="F12" s="1">
        <f>SUM(F13:F15)</f>
        <v>149.43048926184497</v>
      </c>
      <c r="G12" s="1">
        <f t="shared" ref="G12:K12" si="8">SUM(G13:G15)</f>
        <v>125.60521764655181</v>
      </c>
      <c r="H12" s="1">
        <f t="shared" si="8"/>
        <v>178.01159626065663</v>
      </c>
      <c r="I12" s="1">
        <f t="shared" si="8"/>
        <v>150.87264205225358</v>
      </c>
      <c r="J12" s="1">
        <f t="shared" si="8"/>
        <v>151.60854916082769</v>
      </c>
      <c r="K12" s="1">
        <f t="shared" si="8"/>
        <v>152.16869051047061</v>
      </c>
    </row>
    <row r="13" spans="1:11" x14ac:dyDescent="0.35">
      <c r="A13" s="5" t="str">
        <f t="shared" si="4"/>
        <v>STEM</v>
      </c>
      <c r="B13" s="5" t="str">
        <f t="shared" si="5"/>
        <v>SPS1</v>
      </c>
      <c r="C13" s="5" t="str">
        <f t="shared" si="6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66.745680254990347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49.798800132421839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68.534753880992568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70.674053749448348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72.726673527690465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74.835177080932695</v>
      </c>
    </row>
    <row r="14" spans="1:11" x14ac:dyDescent="0.35">
      <c r="A14" s="5" t="str">
        <f t="shared" si="4"/>
        <v>STEM</v>
      </c>
      <c r="B14" s="5" t="str">
        <f t="shared" si="5"/>
        <v>SPS1</v>
      </c>
      <c r="C14" s="5" t="str">
        <f t="shared" si="6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66.63240339221673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55.764002869629728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65.550592645327413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64.47402554118807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62.590508052977171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60.48200508705731</v>
      </c>
    </row>
    <row r="15" spans="1:11" x14ac:dyDescent="0.35">
      <c r="A15" s="5" t="str">
        <f t="shared" si="4"/>
        <v>STEM</v>
      </c>
      <c r="B15" s="5" t="str">
        <f t="shared" si="5"/>
        <v>SPS1</v>
      </c>
      <c r="C15" s="5" t="str">
        <f t="shared" si="6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16.052405614637909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20.042414644500237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43.926249734336636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15.724562761617161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16.291367580160053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16.851508342480596</v>
      </c>
    </row>
    <row r="16" spans="1:11" x14ac:dyDescent="0.35">
      <c r="A16" s="5" t="str">
        <f t="shared" si="4"/>
        <v>STEM</v>
      </c>
      <c r="B16" s="5" t="str">
        <f t="shared" si="5"/>
        <v>SPS1</v>
      </c>
      <c r="C16" s="5" t="str">
        <f t="shared" si="6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12.556504254208923</v>
      </c>
      <c r="G16" s="1" cm="1">
        <f t="array" ref="G16">SUMPRODUCT(ISNUMBER(SEARCH("SOL",[1]OUT_PrimaryEnergyCons!$C$1:$C$1000))*1,[1]OUT_PrimaryEnergyCons!E$1:E$1000)</f>
        <v>16.523453476725518</v>
      </c>
      <c r="H16" s="1" cm="1">
        <f t="array" ref="H16">SUMPRODUCT(ISNUMBER(SEARCH("SOL",[1]OUT_PrimaryEnergyCons!$C$1:$C$1000))*1,[1]OUT_PrimaryEnergyCons!F$1:F$1000)</f>
        <v>30.433511235956367</v>
      </c>
      <c r="I16" s="1" cm="1">
        <f t="array" ref="I16">SUMPRODUCT(ISNUMBER(SEARCH("SOL",[1]OUT_PrimaryEnergyCons!$C$1:$C$1000))*1,[1]OUT_PrimaryEnergyCons!G$1:G$1000)</f>
        <v>37.552669599119561</v>
      </c>
      <c r="J16" s="1" cm="1">
        <f t="array" ref="J16">SUMPRODUCT(ISNUMBER(SEARCH("SOL",[1]OUT_PrimaryEnergyCons!$C$1:$C$1000))*1,[1]OUT_PrimaryEnergyCons!H$1:H$1000)</f>
        <v>78.7220123082773</v>
      </c>
      <c r="K16" s="1" cm="1">
        <f t="array" ref="K16">SUMPRODUCT(ISNUMBER(SEARCH("SOL",[1]OUT_PrimaryEnergyCons!$C$1:$C$1000))*1,[1]OUT_PrimaryEnergyCons!I$1:I$1000)</f>
        <v>109.10626507155759</v>
      </c>
    </row>
    <row r="17" spans="1:18" x14ac:dyDescent="0.35">
      <c r="A17" s="5" t="str">
        <f t="shared" si="4"/>
        <v>STEM</v>
      </c>
      <c r="B17" s="5" t="str">
        <f t="shared" si="5"/>
        <v>SPS1</v>
      </c>
      <c r="C17" s="5" t="str">
        <f t="shared" si="6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0.5240195757057261</v>
      </c>
      <c r="G17" s="1" cm="1">
        <f t="array" ref="G17">SUMPRODUCT(ISNUMBER(SEARCH("wnd",[1]OUT_PrimaryEnergyCons!$C$1:$C$1000))*1,[1]OUT_PrimaryEnergyCons!E$1:E$1000)</f>
        <v>0.54529493025162967</v>
      </c>
      <c r="H17" s="1" cm="1">
        <f t="array" ref="H17">SUMPRODUCT(ISNUMBER(SEARCH("wnd",[1]OUT_PrimaryEnergyCons!$C$1:$C$1000))*1,[1]OUT_PrimaryEnergyCons!F$1:F$1000)</f>
        <v>0.50316752966852485</v>
      </c>
      <c r="I17" s="1" cm="1">
        <f t="array" ref="I17">SUMPRODUCT(ISNUMBER(SEARCH("wnd",[1]OUT_PrimaryEnergyCons!$C$1:$C$1000))*1,[1]OUT_PrimaryEnergyCons!G$1:G$1000)</f>
        <v>2.0502785444854461</v>
      </c>
      <c r="J17" s="1" cm="1">
        <f t="array" ref="J17">SUMPRODUCT(ISNUMBER(SEARCH("wnd",[1]OUT_PrimaryEnergyCons!$C$1:$C$1000))*1,[1]OUT_PrimaryEnergyCons!H$1:H$1000)</f>
        <v>3.5228379247696697</v>
      </c>
      <c r="K17" s="1" cm="1">
        <f t="array" ref="K17">SUMPRODUCT(ISNUMBER(SEARCH("wnd",[1]OUT_PrimaryEnergyCons!$C$1:$C$1000))*1,[1]OUT_PrimaryEnergyCons!I$1:I$1000)</f>
        <v>14.10284351480307</v>
      </c>
    </row>
    <row r="18" spans="1:18" x14ac:dyDescent="0.35">
      <c r="A18" s="5" t="str">
        <f t="shared" si="4"/>
        <v>STEM</v>
      </c>
      <c r="B18" s="5" t="str">
        <f t="shared" si="5"/>
        <v>SPS1</v>
      </c>
      <c r="C18" s="5" t="str">
        <f t="shared" si="6"/>
        <v>CH</v>
      </c>
      <c r="D18" t="s">
        <v>777</v>
      </c>
      <c r="E18" t="s">
        <v>8</v>
      </c>
      <c r="F18" s="1">
        <f>[1]Overview!B$9-F19</f>
        <v>18.873123390066002</v>
      </c>
      <c r="G18" s="1">
        <f>[1]Overview!C$9-G19</f>
        <v>21.777729839781443</v>
      </c>
      <c r="H18" s="1">
        <f>[1]Overview!D$9-H19</f>
        <v>32.118708554045234</v>
      </c>
      <c r="I18" s="1">
        <f>[1]Overview!E$9-I19</f>
        <v>60.464774699651606</v>
      </c>
      <c r="J18" s="1">
        <f>[1]Overview!F$9-J19</f>
        <v>90.262614621560544</v>
      </c>
      <c r="K18" s="1">
        <f>[1]Overview!G$9-K19</f>
        <v>96.221034689029807</v>
      </c>
    </row>
    <row r="19" spans="1:18" x14ac:dyDescent="0.35">
      <c r="A19" s="5" t="str">
        <f t="shared" si="4"/>
        <v>STEM</v>
      </c>
      <c r="B19" s="5" t="str">
        <f t="shared" si="5"/>
        <v>SPS1</v>
      </c>
      <c r="C19" s="5" t="str">
        <f t="shared" si="6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0.55901362265447885</v>
      </c>
      <c r="K19" s="1">
        <f>+[1]Overview!G$28</f>
        <v>21.380768533458554</v>
      </c>
    </row>
    <row r="20" spans="1:18" x14ac:dyDescent="0.35">
      <c r="A20" s="9" t="str">
        <f t="shared" si="4"/>
        <v>STEM</v>
      </c>
      <c r="B20" s="9" t="str">
        <f t="shared" si="5"/>
        <v>SPS1</v>
      </c>
      <c r="C20" s="2" t="str">
        <f t="shared" si="6"/>
        <v>CH</v>
      </c>
      <c r="D20" s="2" t="s">
        <v>19</v>
      </c>
      <c r="E20" s="2" t="s">
        <v>8</v>
      </c>
      <c r="F20" s="3">
        <f t="shared" ref="F20:K20" si="9">SUM(F21:F22,F39,F48:F49,F54)</f>
        <v>779.43576807727436</v>
      </c>
      <c r="G20" s="3">
        <f t="shared" si="9"/>
        <v>702.06638458220425</v>
      </c>
      <c r="H20" s="3">
        <f t="shared" si="9"/>
        <v>622.88462223917713</v>
      </c>
      <c r="I20" s="3">
        <f t="shared" si="9"/>
        <v>507.45489738277979</v>
      </c>
      <c r="J20" s="3">
        <f t="shared" si="9"/>
        <v>258.92496749751615</v>
      </c>
      <c r="K20" s="3">
        <f t="shared" si="9"/>
        <v>144.76022787816302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4"/>
        <v>STEM</v>
      </c>
      <c r="B21" s="5" t="str">
        <f t="shared" si="5"/>
        <v>SPS1</v>
      </c>
      <c r="C21" s="5" t="str">
        <f t="shared" si="6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3.6600322020762137</v>
      </c>
      <c r="G21" s="1" cm="1">
        <f t="array" ref="G21">SUMPRODUCT(("COA"=[1]OUT_PrimaryEnergyCons!$C$4:$C$10000)*1,[1]OUT_PrimaryEnergyCons!E$4:E$10000)</f>
        <v>3.5647257016561915</v>
      </c>
      <c r="H21" s="1" cm="1">
        <f t="array" ref="H21">SUMPRODUCT(("COA"=[1]OUT_PrimaryEnergyCons!$C$4:$C$10000)*1,[1]OUT_PrimaryEnergyCons!F$4:F$10000)</f>
        <v>1.1321145706533571</v>
      </c>
      <c r="I21" s="1" cm="1">
        <f t="array" ref="I21">SUMPRODUCT(("COA"=[1]OUT_PrimaryEnergyCons!$C$4:$C$10000)*1,[1]OUT_PrimaryEnergyCons!G$4:G$10000)</f>
        <v>6.3467884236475527E-4</v>
      </c>
      <c r="J21" s="1" cm="1">
        <f t="array" ref="J21">SUMPRODUCT(("COA"=[1]OUT_PrimaryEnergyCons!$C$4:$C$10000)*1,[1]OUT_PrimaryEnergyCons!H$4:H$10000)</f>
        <v>6.4807298563390541E-4</v>
      </c>
      <c r="K21" s="1" cm="1">
        <f t="array" ref="K21">SUMPRODUCT(("COA"=[1]OUT_PrimaryEnergyCons!$C$4:$C$10000)*1,[1]OUT_PrimaryEnergyCons!I$4:I$10000)</f>
        <v>2.0141315688538322E-4</v>
      </c>
    </row>
    <row r="22" spans="1:18" x14ac:dyDescent="0.35">
      <c r="A22" s="5" t="str">
        <f t="shared" si="4"/>
        <v>STEM</v>
      </c>
      <c r="B22" s="5" t="str">
        <f t="shared" si="5"/>
        <v>SPS1</v>
      </c>
      <c r="C22" s="5" t="str">
        <f t="shared" si="6"/>
        <v>CH</v>
      </c>
      <c r="D22" t="s">
        <v>780</v>
      </c>
      <c r="E22" t="s">
        <v>8</v>
      </c>
      <c r="F22" s="1">
        <f>F23+F29</f>
        <v>310.61461723141309</v>
      </c>
      <c r="G22" s="1">
        <f t="shared" ref="G22:K22" si="10">G23+G29</f>
        <v>287.69093209077914</v>
      </c>
      <c r="H22" s="1">
        <f t="shared" si="10"/>
        <v>260.04931432090808</v>
      </c>
      <c r="I22" s="1">
        <f t="shared" si="10"/>
        <v>166.20486994475289</v>
      </c>
      <c r="J22" s="1">
        <f t="shared" si="10"/>
        <v>81.697366099731624</v>
      </c>
      <c r="K22" s="1">
        <f t="shared" si="10"/>
        <v>93.80717600240115</v>
      </c>
    </row>
    <row r="23" spans="1:18" x14ac:dyDescent="0.35">
      <c r="A23" s="5" t="str">
        <f t="shared" ref="A23" si="11">A22</f>
        <v>STEM</v>
      </c>
      <c r="B23" s="5" t="str">
        <f t="shared" ref="B23" si="12">B22</f>
        <v>SPS1</v>
      </c>
      <c r="C23" s="5" t="str">
        <f t="shared" ref="C23" si="13">C22</f>
        <v>CH</v>
      </c>
      <c r="D23" t="s">
        <v>781</v>
      </c>
      <c r="E23" t="s">
        <v>8</v>
      </c>
      <c r="F23" s="1">
        <f>SUM(F24:F28)</f>
        <v>303.84515526760543</v>
      </c>
      <c r="G23" s="1">
        <f t="shared" ref="G23:K23" si="14">SUM(G24:G28)</f>
        <v>280.92019948736265</v>
      </c>
      <c r="H23" s="1">
        <f t="shared" si="14"/>
        <v>252.41450638367684</v>
      </c>
      <c r="I23" s="1">
        <f t="shared" si="14"/>
        <v>154.58538729650715</v>
      </c>
      <c r="J23" s="1">
        <f t="shared" si="14"/>
        <v>48.138290533779646</v>
      </c>
      <c r="K23" s="1">
        <f t="shared" si="14"/>
        <v>0</v>
      </c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101.73255844754223</v>
      </c>
      <c r="G24" s="1" cm="1">
        <f t="array" ref="G24">SUMPRODUCT(("LFO"=[1]OUT_PrimaryEnergyCons!$C$4:$C$10000)*1,[1]OUT_PrimaryEnergyCons!E$4:E$10000)</f>
        <v>88.602742320913634</v>
      </c>
      <c r="H24" s="1" cm="1">
        <f t="array" ref="H24">SUMPRODUCT(("LFO"=[1]OUT_PrimaryEnergyCons!$C$4:$C$10000)*1,[1]OUT_PrimaryEnergyCons!F$4:F$10000)</f>
        <v>81.913086597716372</v>
      </c>
      <c r="I24" s="1" cm="1">
        <f t="array" ref="I24">SUMPRODUCT(("LFO"=[1]OUT_PrimaryEnergyCons!$C$4:$C$10000)*1,[1]OUT_PrimaryEnergyCons!G$4:G$10000)</f>
        <v>42.63442450549865</v>
      </c>
      <c r="J24" s="1" cm="1">
        <f t="array" ref="J24">SUMPRODUCT(("LFO"=[1]OUT_PrimaryEnergyCons!$C$4:$C$10000)*1,[1]OUT_PrimaryEnergyCons!H$4:H$10000)</f>
        <v>11.500161895355838</v>
      </c>
      <c r="K24" s="1" cm="1">
        <f t="array" ref="K24">SUMPRODUCT(("LFO"=[1]OUT_PrimaryEnergyCons!$C$4:$C$10000)*1,[1]OUT_PrimaryEnergyCons!I$4:I$10000)</f>
        <v>0</v>
      </c>
    </row>
    <row r="25" spans="1:18" x14ac:dyDescent="0.35">
      <c r="A25" s="5" t="str">
        <f t="shared" si="4"/>
        <v>STEM</v>
      </c>
      <c r="B25" s="5" t="str">
        <f t="shared" si="5"/>
        <v>SPS1</v>
      </c>
      <c r="C25" s="5" t="str">
        <f t="shared" si="6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2.7763821187764037</v>
      </c>
      <c r="G25" s="1" cm="1">
        <f t="array" ref="G25">SUMPRODUCT(("HFO"=[1]OUT_PrimaryEnergyCons!$C$4:$C$10000)*1,[1]OUT_PrimaryEnergyCons!E$4:E$10000)</f>
        <v>2.3751501586315169</v>
      </c>
      <c r="H25" s="1" cm="1">
        <f t="array" ref="H25">SUMPRODUCT(("HFO"=[1]OUT_PrimaryEnergyCons!$C$4:$C$10000)*1,[1]OUT_PrimaryEnergyCons!F$4:F$10000)</f>
        <v>1.8391619637316433E-3</v>
      </c>
      <c r="I25" s="1" cm="1">
        <f t="array" ref="I25">SUMPRODUCT(("HFO"=[1]OUT_PrimaryEnergyCons!$C$4:$C$10000)*1,[1]OUT_PrimaryEnergyCons!G$4:G$10000)</f>
        <v>2.1989345504189284E-4</v>
      </c>
      <c r="J25" s="1" cm="1">
        <f t="array" ref="J25">SUMPRODUCT(("HFO"=[1]OUT_PrimaryEnergyCons!$C$4:$C$10000)*1,[1]OUT_PrimaryEnergyCons!H$4:H$10000)</f>
        <v>8.1853617412789518E-4</v>
      </c>
      <c r="K25" s="1" cm="1">
        <f t="array" ref="K25">SUMPRODUCT(("HFO"=[1]OUT_PrimaryEnergyCons!$C$4:$C$10000)*1,[1]OUT_PrimaryEnergyCons!I$4:I$10000)</f>
        <v>0</v>
      </c>
    </row>
    <row r="26" spans="1:18" x14ac:dyDescent="0.35">
      <c r="A26" s="5" t="str">
        <f t="shared" si="4"/>
        <v>STEM</v>
      </c>
      <c r="B26" s="5" t="str">
        <f t="shared" si="5"/>
        <v>SPS1</v>
      </c>
      <c r="C26" s="5" t="str">
        <f t="shared" si="6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118.35402406736033</v>
      </c>
      <c r="G26" s="1" cm="1">
        <f t="array" ref="G26">SUMPRODUCT(("DSL"=[1]OUT_PrimaryEnergyCons!$C$4:$C$10000)*1,[1]OUT_PrimaryEnergyCons!E$4:E$10000)</f>
        <v>112.68604364616083</v>
      </c>
      <c r="H26" s="1" cm="1">
        <f t="array" ref="H26">SUMPRODUCT(("DSL"=[1]OUT_PrimaryEnergyCons!$C$4:$C$10000)*1,[1]OUT_PrimaryEnergyCons!F$4:F$10000)</f>
        <v>96.829890406505726</v>
      </c>
      <c r="I26" s="1" cm="1">
        <f t="array" ref="I26">SUMPRODUCT(("DSL"=[1]OUT_PrimaryEnergyCons!$C$4:$C$10000)*1,[1]OUT_PrimaryEnergyCons!G$4:G$10000)</f>
        <v>66.163455855927737</v>
      </c>
      <c r="J26" s="1" cm="1">
        <f t="array" ref="J26">SUMPRODUCT(("DSL"=[1]OUT_PrimaryEnergyCons!$C$4:$C$10000)*1,[1]OUT_PrimaryEnergyCons!H$4:H$10000)</f>
        <v>28.971012228914109</v>
      </c>
      <c r="K26" s="1" cm="1">
        <f t="array" ref="K26">SUMPRODUCT(("DSL"=[1]OUT_PrimaryEnergyCons!$C$4:$C$10000)*1,[1]OUT_PrimaryEnergyCons!I$4:I$10000)</f>
        <v>0</v>
      </c>
    </row>
    <row r="27" spans="1:18" x14ac:dyDescent="0.35">
      <c r="A27" s="5" t="str">
        <f t="shared" si="4"/>
        <v>STEM</v>
      </c>
      <c r="B27" s="5" t="str">
        <f t="shared" si="5"/>
        <v>SPS1</v>
      </c>
      <c r="C27" s="5" t="str">
        <f t="shared" si="6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79.873464233713207</v>
      </c>
      <c r="G27" s="1" cm="1">
        <f t="array" ref="G27">SUMPRODUCT(("GSL"=[1]OUT_PrimaryEnergyCons!$C$4:$C$10000)*1,[1]OUT_PrimaryEnergyCons!E$4:E$10000)</f>
        <v>75.851064596785974</v>
      </c>
      <c r="H27" s="1" cm="1">
        <f t="array" ref="H27">SUMPRODUCT(("GSL"=[1]OUT_PrimaryEnergyCons!$C$4:$C$10000)*1,[1]OUT_PrimaryEnergyCons!F$4:F$10000)</f>
        <v>71.821504802293347</v>
      </c>
      <c r="I27" s="1" cm="1">
        <f t="array" ref="I27">SUMPRODUCT(("GSL"=[1]OUT_PrimaryEnergyCons!$C$4:$C$10000)*1,[1]OUT_PrimaryEnergyCons!G$4:G$10000)</f>
        <v>43.249198812254313</v>
      </c>
      <c r="J27" s="1" cm="1">
        <f t="array" ref="J27">SUMPRODUCT(("GSL"=[1]OUT_PrimaryEnergyCons!$C$4:$C$10000)*1,[1]OUT_PrimaryEnergyCons!H$4:H$10000)</f>
        <v>5.5907817605670918</v>
      </c>
      <c r="K27" s="1" cm="1">
        <f t="array" ref="K27">SUMPRODUCT(("GSL"=[1]OUT_PrimaryEnergyCons!$C$4:$C$10000)*1,[1]OUT_PrimaryEnergyCons!I$4:I$10000)</f>
        <v>0</v>
      </c>
    </row>
    <row r="28" spans="1:18" x14ac:dyDescent="0.35">
      <c r="A28" s="5" t="str">
        <f t="shared" ref="A28" si="15">A27</f>
        <v>STEM</v>
      </c>
      <c r="B28" s="5" t="str">
        <f t="shared" ref="B28" si="16">B27</f>
        <v>SPS1</v>
      </c>
      <c r="C28" s="5" t="str">
        <f t="shared" ref="C28" si="17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1.1087264002132173</v>
      </c>
      <c r="G28" s="1" cm="1">
        <f t="array" ref="G28">SUMPRODUCT(("KER"=[1]OUT_PrimaryEnergyCons!$C$4:$C$10000)*1,[1]OUT_PrimaryEnergyCons!E$4:E$10000)</f>
        <v>1.4051987648706992</v>
      </c>
      <c r="H28" s="1" cm="1">
        <f t="array" ref="H28">SUMPRODUCT(("KER"=[1]OUT_PrimaryEnergyCons!$C$4:$C$10000)*1,[1]OUT_PrimaryEnergyCons!F$4:F$10000)</f>
        <v>1.8481854151976467</v>
      </c>
      <c r="I28" s="1" cm="1">
        <f t="array" ref="I28">SUMPRODUCT(("KER"=[1]OUT_PrimaryEnergyCons!$C$4:$C$10000)*1,[1]OUT_PrimaryEnergyCons!G$4:G$10000)</f>
        <v>2.5380882293713856</v>
      </c>
      <c r="J28" s="1" cm="1">
        <f t="array" ref="J28">SUMPRODUCT(("KER"=[1]OUT_PrimaryEnergyCons!$C$4:$C$10000)*1,[1]OUT_PrimaryEnergyCons!H$4:H$10000)</f>
        <v>2.0755161127684851</v>
      </c>
      <c r="K28" s="1" cm="1">
        <f t="array" ref="K28">SUMPRODUCT(("KER"=[1]OUT_PrimaryEnergyCons!$C$4:$C$10000)*1,[1]OUT_PrimaryEnergyCons!I$4:I$10000)</f>
        <v>0</v>
      </c>
    </row>
    <row r="29" spans="1:18" x14ac:dyDescent="0.35">
      <c r="A29" s="5" t="str">
        <f>A48</f>
        <v>STEM</v>
      </c>
      <c r="B29" s="5" t="str">
        <f>B48</f>
        <v>SPS1</v>
      </c>
      <c r="C29" s="5" t="str">
        <f>C48</f>
        <v>CH</v>
      </c>
      <c r="D29" t="s">
        <v>782</v>
      </c>
      <c r="E29" t="s">
        <v>8</v>
      </c>
      <c r="F29" s="1">
        <f>SUM(F30:F31)</f>
        <v>6.7694619638076503</v>
      </c>
      <c r="G29" s="1">
        <f t="shared" ref="G29:K29" si="18">SUM(G30:G31)</f>
        <v>6.7707326034164819</v>
      </c>
      <c r="H29" s="1">
        <f t="shared" si="18"/>
        <v>7.6348079372312281</v>
      </c>
      <c r="I29" s="1">
        <f t="shared" si="18"/>
        <v>11.619482648245743</v>
      </c>
      <c r="J29" s="1">
        <f t="shared" si="18"/>
        <v>33.559075565951971</v>
      </c>
      <c r="K29" s="1">
        <f t="shared" si="18"/>
        <v>93.80717600240115</v>
      </c>
    </row>
    <row r="30" spans="1:18" x14ac:dyDescent="0.35">
      <c r="A30" s="5" t="str">
        <f>A35</f>
        <v>STEM</v>
      </c>
      <c r="B30" s="5" t="str">
        <f>B35</f>
        <v>SPS1</v>
      </c>
      <c r="C30" s="5" t="str">
        <f>C35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</f>
        <v>2.3353099128847892</v>
      </c>
      <c r="G30" s="1" cm="1">
        <f t="array" ref="G30">SUMPRODUCT(ISNUMBER(SEARCH("IMPBDS",[1]OUT_SyntheticFuels!$C$4:$C$1000))*1,("Var_Fout"=[1]OUT_SyntheticFuels!$B$4:$B$1000)*1,[1]OUT_SyntheticFuels!F$4:F$1000)</f>
        <v>2.3780137266388235</v>
      </c>
      <c r="H30" s="1" cm="1">
        <f t="array" ref="H30">SUMPRODUCT(ISNUMBER(SEARCH("IMPBDS",[1]OUT_SyntheticFuels!$C$4:$C$1000))*1,("Var_Fout"=[1]OUT_SyntheticFuels!$B$4:$B$1000)*1,[1]OUT_SyntheticFuels!G$4:G$1000)</f>
        <v>3.6671655986271854</v>
      </c>
      <c r="I30" s="1" cm="1">
        <f t="array" ref="I30">SUMPRODUCT(ISNUMBER(SEARCH("IMPBDS",[1]OUT_SyntheticFuels!$C$4:$C$1000))*1,("Var_Fout"=[1]OUT_SyntheticFuels!$B$4:$B$1000)*1,[1]OUT_SyntheticFuels!H$4:H$1000)</f>
        <v>9.113500010559747</v>
      </c>
      <c r="J30" s="1" cm="1">
        <f t="array" ref="J30">SUMPRODUCT(ISNUMBER(SEARCH("IMPBDS",[1]OUT_SyntheticFuels!$C$4:$C$1000))*1,("Var_Fout"=[1]OUT_SyntheticFuels!$B$4:$B$1000)*1,[1]OUT_SyntheticFuels!I$4:I$1000)</f>
        <v>30.16703569621022</v>
      </c>
      <c r="K30" s="1" cm="1">
        <f t="array" ref="K30">SUMPRODUCT(ISNUMBER(SEARCH("IMPBDS",[1]OUT_SyntheticFuels!$C$4:$C$1000))*1,("Var_Fout"=[1]OUT_SyntheticFuels!$B$4:$B$1000)*1,[1]OUT_SyntheticFuels!J$4:J$1000)</f>
        <v>92.890111883580829</v>
      </c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4.4341520509228616</v>
      </c>
      <c r="G31" s="1" cm="1">
        <f t="array" ref="G31">SUMPRODUCT(ISNUMBER(SEARCH("IMPeth",[1]OUT_SyntheticFuels!$C$4:$C$1000))*1,("Var_Fout"=[1]OUT_SyntheticFuels!$B$4:$B$1000)*1,[1]OUT_SyntheticFuels!F$4:F$1000)</f>
        <v>4.3927188767776588</v>
      </c>
      <c r="H31" s="1" cm="1">
        <f t="array" ref="H31">SUMPRODUCT(ISNUMBER(SEARCH("IMPeth",[1]OUT_SyntheticFuels!$C$4:$C$1000))*1,("Var_Fout"=[1]OUT_SyntheticFuels!$B$4:$B$1000)*1,[1]OUT_SyntheticFuels!G$4:G$1000)</f>
        <v>3.9676423386040431</v>
      </c>
      <c r="I31" s="1" cm="1">
        <f t="array" ref="I31">SUMPRODUCT(ISNUMBER(SEARCH("IMPeth",[1]OUT_SyntheticFuels!$C$4:$C$1000))*1,("Var_Fout"=[1]OUT_SyntheticFuels!$B$4:$B$1000)*1,[1]OUT_SyntheticFuels!H$4:H$1000)</f>
        <v>2.5059826376859955</v>
      </c>
      <c r="J31" s="1" cm="1">
        <f t="array" ref="J31">SUMPRODUCT(ISNUMBER(SEARCH("IMPeth",[1]OUT_SyntheticFuels!$C$4:$C$1000))*1,("Var_Fout"=[1]OUT_SyntheticFuels!$B$4:$B$1000)*1,[1]OUT_SyntheticFuels!I$4:I$1000)</f>
        <v>3.3920398697417538</v>
      </c>
      <c r="K31" s="1" cm="1">
        <f t="array" ref="K31">SUMPRODUCT(ISNUMBER(SEARCH("IMPeth",[1]OUT_SyntheticFuels!$C$4:$C$1000))*1,("Var_Fout"=[1]OUT_SyntheticFuels!$B$4:$B$1000)*1,[1]OUT_SyntheticFuels!J$4:J$1000)</f>
        <v>0.91706411882031358</v>
      </c>
    </row>
    <row r="32" spans="1:18" x14ac:dyDescent="0.35">
      <c r="A32" s="5" t="str">
        <f>A29</f>
        <v>STEM</v>
      </c>
      <c r="B32" s="5" t="str">
        <f>B29</f>
        <v>SPS1</v>
      </c>
      <c r="C32" s="5" t="str">
        <f>C29</f>
        <v>CH</v>
      </c>
      <c r="D32" t="s">
        <v>532</v>
      </c>
      <c r="E32" t="s">
        <v>8</v>
      </c>
      <c r="F32" s="1">
        <f t="shared" ref="F32:K32" si="19">SUM(F33:F34)</f>
        <v>6.7694619638076503</v>
      </c>
      <c r="G32" s="1">
        <f t="shared" si="19"/>
        <v>6.7707326034164819</v>
      </c>
      <c r="H32" s="1">
        <f t="shared" si="19"/>
        <v>7.6348079372312281</v>
      </c>
      <c r="I32" s="1">
        <f t="shared" si="19"/>
        <v>11.619482648245743</v>
      </c>
      <c r="J32" s="1">
        <f t="shared" si="19"/>
        <v>12.505539880301502</v>
      </c>
      <c r="K32" s="1">
        <f t="shared" si="19"/>
        <v>31.084099815030534</v>
      </c>
    </row>
    <row r="33" spans="1:11" x14ac:dyDescent="0.35">
      <c r="A33" s="5" t="str">
        <f>A31</f>
        <v>STEM</v>
      </c>
      <c r="B33" s="5" t="str">
        <f>B31</f>
        <v>SPS1</v>
      </c>
      <c r="C33" s="5" t="str">
        <f>C31</f>
        <v>CH</v>
      </c>
      <c r="D33" t="s">
        <v>533</v>
      </c>
      <c r="E33" t="s">
        <v>8</v>
      </c>
      <c r="F33" s="1">
        <f t="shared" ref="F33:I34" si="20">F30</f>
        <v>2.3353099128847892</v>
      </c>
      <c r="G33" s="1">
        <f t="shared" si="20"/>
        <v>2.3780137266388235</v>
      </c>
      <c r="H33" s="1">
        <f t="shared" si="20"/>
        <v>3.6671655986271854</v>
      </c>
      <c r="I33" s="1">
        <f t="shared" si="20"/>
        <v>9.113500010559747</v>
      </c>
      <c r="J33" s="1">
        <f>IF(J30-MAX(F30:I30)&lt;0,J30,MAX(F30:I30))</f>
        <v>9.113500010559747</v>
      </c>
      <c r="K33" s="1">
        <f>IF(K30-MAX(F30:J30)&lt;0,K30,MAX(F30:J30))</f>
        <v>30.16703569621022</v>
      </c>
    </row>
    <row r="34" spans="1:11" x14ac:dyDescent="0.35">
      <c r="A34" s="5" t="str">
        <f>A33</f>
        <v>STEM</v>
      </c>
      <c r="B34" s="5" t="str">
        <f>B33</f>
        <v>SPS1</v>
      </c>
      <c r="C34" s="5" t="str">
        <f>C33</f>
        <v>CH</v>
      </c>
      <c r="D34" t="s">
        <v>534</v>
      </c>
      <c r="E34" t="s">
        <v>8</v>
      </c>
      <c r="F34" s="1">
        <f t="shared" si="20"/>
        <v>4.4341520509228616</v>
      </c>
      <c r="G34" s="1">
        <f t="shared" si="20"/>
        <v>4.3927188767776588</v>
      </c>
      <c r="H34" s="1">
        <f t="shared" si="20"/>
        <v>3.9676423386040431</v>
      </c>
      <c r="I34" s="1">
        <f t="shared" si="20"/>
        <v>2.5059826376859955</v>
      </c>
      <c r="J34" s="1">
        <f>IF(J31-MAX(F31:I31)&lt;0,J31,MAX(F31:I31))</f>
        <v>3.3920398697417538</v>
      </c>
      <c r="K34" s="1">
        <f>IF(K31-MAX(F31:J31)&lt;0,K31,MAX(F31:J31))</f>
        <v>0.91706411882031358</v>
      </c>
    </row>
    <row r="35" spans="1:11" x14ac:dyDescent="0.35">
      <c r="A35" s="5" t="str">
        <f>A32</f>
        <v>STEM</v>
      </c>
      <c r="B35" s="5" t="str">
        <f>B32</f>
        <v>SPS1</v>
      </c>
      <c r="C35" s="5" t="str">
        <f>C32</f>
        <v>CH</v>
      </c>
      <c r="D35" t="s">
        <v>783</v>
      </c>
      <c r="E35" t="s">
        <v>8</v>
      </c>
      <c r="F35" s="1">
        <f t="shared" ref="F35:K35" si="21">SUM(F36:F37)</f>
        <v>0</v>
      </c>
      <c r="G35" s="1">
        <f t="shared" si="21"/>
        <v>0</v>
      </c>
      <c r="H35" s="1">
        <f t="shared" si="21"/>
        <v>0</v>
      </c>
      <c r="I35" s="1">
        <f t="shared" si="21"/>
        <v>0</v>
      </c>
      <c r="J35" s="1">
        <f t="shared" si="21"/>
        <v>21.053535685650473</v>
      </c>
      <c r="K35" s="1">
        <f t="shared" si="21"/>
        <v>62.723076187370609</v>
      </c>
    </row>
    <row r="36" spans="1:11" x14ac:dyDescent="0.35">
      <c r="A36" s="5" t="str">
        <f>A34</f>
        <v>STEM</v>
      </c>
      <c r="B36" s="5" t="str">
        <f>B34</f>
        <v>SPS1</v>
      </c>
      <c r="C36" s="5" t="str">
        <f>C34</f>
        <v>CH</v>
      </c>
      <c r="D36" t="s">
        <v>535</v>
      </c>
      <c r="E36" t="s">
        <v>8</v>
      </c>
      <c r="F36" s="1">
        <v>0</v>
      </c>
      <c r="G36" s="1">
        <v>0</v>
      </c>
      <c r="H36" s="1">
        <v>0</v>
      </c>
      <c r="I36" s="1">
        <v>0</v>
      </c>
      <c r="J36" s="1">
        <f>J30-J33</f>
        <v>21.053535685650473</v>
      </c>
      <c r="K36" s="1">
        <f>K30-K33</f>
        <v>62.723076187370609</v>
      </c>
    </row>
    <row r="37" spans="1:11" x14ac:dyDescent="0.35">
      <c r="A37" s="5" t="str">
        <f>A36</f>
        <v>STEM</v>
      </c>
      <c r="B37" s="5" t="str">
        <f>B36</f>
        <v>SPS1</v>
      </c>
      <c r="C37" s="5" t="str">
        <f>C36</f>
        <v>CH</v>
      </c>
      <c r="D37" t="s">
        <v>536</v>
      </c>
      <c r="E37" t="s">
        <v>8</v>
      </c>
      <c r="F37" s="1">
        <v>0</v>
      </c>
      <c r="G37" s="1">
        <v>0</v>
      </c>
      <c r="H37" s="1">
        <v>0</v>
      </c>
      <c r="I37" s="1">
        <v>0</v>
      </c>
      <c r="J37" s="1">
        <f>J31-J34</f>
        <v>0</v>
      </c>
      <c r="K37" s="1">
        <f>K31-K34</f>
        <v>0</v>
      </c>
    </row>
    <row r="38" spans="1:11" x14ac:dyDescent="0.35">
      <c r="A38" s="5"/>
      <c r="B38" s="5" t="str">
        <f>B37</f>
        <v>SPS1</v>
      </c>
      <c r="C38" s="5" t="str">
        <f>C37</f>
        <v>CH</v>
      </c>
      <c r="D38" t="s">
        <v>537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35">
      <c r="A39" s="5" t="str">
        <f t="shared" ref="A39:C40" si="22">A28</f>
        <v>STEM</v>
      </c>
      <c r="B39" s="5" t="str">
        <f t="shared" si="22"/>
        <v>SPS1</v>
      </c>
      <c r="C39" s="5" t="str">
        <f t="shared" si="22"/>
        <v>CH</v>
      </c>
      <c r="D39" t="s">
        <v>784</v>
      </c>
      <c r="E39" t="s">
        <v>8</v>
      </c>
      <c r="F39" s="1">
        <f>F40+F43</f>
        <v>117.05288329747826</v>
      </c>
      <c r="G39" s="1">
        <f t="shared" ref="G39:K39" si="23">G40+G43</f>
        <v>107.23651011627435</v>
      </c>
      <c r="H39" s="1">
        <f t="shared" si="23"/>
        <v>105.15249768341354</v>
      </c>
      <c r="I39" s="1">
        <f t="shared" si="23"/>
        <v>78.599508972509724</v>
      </c>
      <c r="J39" s="1">
        <f t="shared" si="23"/>
        <v>38.490101635243555</v>
      </c>
      <c r="K39" s="1">
        <f t="shared" si="23"/>
        <v>15.547325132393567</v>
      </c>
    </row>
    <row r="40" spans="1:11" x14ac:dyDescent="0.35">
      <c r="A40" s="5" t="str">
        <f t="shared" si="22"/>
        <v>STEM</v>
      </c>
      <c r="B40" s="5" t="str">
        <f t="shared" si="22"/>
        <v>SPS1</v>
      </c>
      <c r="C40" s="5" t="str">
        <f t="shared" si="22"/>
        <v>CH</v>
      </c>
      <c r="D40" t="s">
        <v>549</v>
      </c>
      <c r="E40" t="s">
        <v>8</v>
      </c>
      <c r="F40" s="1">
        <f>F41+F42</f>
        <v>117.05288329747826</v>
      </c>
      <c r="G40" s="1">
        <f t="shared" ref="G40:K40" si="24">G41+G42</f>
        <v>106.72000752518665</v>
      </c>
      <c r="H40" s="1">
        <f t="shared" si="24"/>
        <v>103.98535361498233</v>
      </c>
      <c r="I40" s="1">
        <f t="shared" si="24"/>
        <v>74.232631355216441</v>
      </c>
      <c r="J40" s="1">
        <f t="shared" si="24"/>
        <v>34.190877214086186</v>
      </c>
      <c r="K40" s="1">
        <f t="shared" si="24"/>
        <v>13.411878815815761</v>
      </c>
    </row>
    <row r="41" spans="1:11" x14ac:dyDescent="0.35">
      <c r="A41" s="5" t="str">
        <f>A27</f>
        <v>STEM</v>
      </c>
      <c r="B41" s="5" t="str">
        <f>B27</f>
        <v>SPS1</v>
      </c>
      <c r="C41" s="5" t="str">
        <f>C27</f>
        <v>CH</v>
      </c>
      <c r="D41" t="s">
        <v>550</v>
      </c>
      <c r="E41" t="s">
        <v>8</v>
      </c>
      <c r="F41" s="1" cm="1">
        <f t="array" ref="F41">SUMPRODUCT(("NGA"=[1]OUT_PrimaryEnergyCons!$C$4:$C$10000)*1,[1]OUT_PrimaryEnergyCons!D$4:D$10000)</f>
        <v>117.05288329747826</v>
      </c>
      <c r="G41" s="1" cm="1">
        <f t="array" ref="G41">SUMPRODUCT(("NGA"=[1]OUT_PrimaryEnergyCons!$C$4:$C$10000)*1,[1]OUT_PrimaryEnergyCons!E$4:E$10000)</f>
        <v>106.72000752518665</v>
      </c>
      <c r="H41" s="1" cm="1">
        <f t="array" ref="H41">SUMPRODUCT(("NGA"=[1]OUT_PrimaryEnergyCons!$C$4:$C$10000)*1,[1]OUT_PrimaryEnergyCons!F$4:F$10000)</f>
        <v>103.98535361498233</v>
      </c>
      <c r="I41" s="1" cm="1">
        <f t="array" ref="I41">SUMPRODUCT(("NGA"=[1]OUT_PrimaryEnergyCons!$C$4:$C$10000)*1,[1]OUT_PrimaryEnergyCons!G$4:G$10000)</f>
        <v>74.232389379172588</v>
      </c>
      <c r="J41" s="1" cm="1">
        <f t="array" ref="J41">SUMPRODUCT(("NGA"=[1]OUT_PrimaryEnergyCons!$C$4:$C$10000)*1,[1]OUT_PrimaryEnergyCons!H$4:H$10000)</f>
        <v>34.190516452258322</v>
      </c>
      <c r="K41" s="1" cm="1">
        <f t="array" ref="K41">SUMPRODUCT(("NGA"=[1]OUT_PrimaryEnergyCons!$C$4:$C$10000)*1,[1]OUT_PrimaryEnergyCons!I$4:I$10000)</f>
        <v>13.411513575022241</v>
      </c>
    </row>
    <row r="42" spans="1:11" x14ac:dyDescent="0.35">
      <c r="A42" s="5" t="str">
        <f t="shared" si="4"/>
        <v>STEM</v>
      </c>
      <c r="B42" s="5" t="str">
        <f t="shared" si="5"/>
        <v>SPS1</v>
      </c>
      <c r="C42" s="5" t="str">
        <f t="shared" si="6"/>
        <v>CH</v>
      </c>
      <c r="D42" t="s">
        <v>551</v>
      </c>
      <c r="E42" t="s">
        <v>8</v>
      </c>
      <c r="F42" s="1" cm="1">
        <f t="array" ref="F42">SUMPRODUCT(("LNGA"=[1]OUT_PrimaryEnergyCons!$C$4:$C$10000)*1,[1]OUT_PrimaryEnergyCons!D$4:D$10000)</f>
        <v>0</v>
      </c>
      <c r="G42" s="1" cm="1">
        <f t="array" ref="G42">SUMPRODUCT(("LNGA"=[1]OUT_PrimaryEnergyCons!$C$4:$C$10000)*1,[1]OUT_PrimaryEnergyCons!E$4:E$10000)</f>
        <v>0</v>
      </c>
      <c r="H42" s="1" cm="1">
        <f t="array" ref="H42">SUMPRODUCT(("LNGA"=[1]OUT_PrimaryEnergyCons!$C$4:$C$10000)*1,[1]OUT_PrimaryEnergyCons!F$4:F$10000)</f>
        <v>0</v>
      </c>
      <c r="I42" s="1" cm="1">
        <f t="array" ref="I42">SUMPRODUCT(("LNGA"=[1]OUT_PrimaryEnergyCons!$C$4:$C$10000)*1,[1]OUT_PrimaryEnergyCons!G$4:G$10000)</f>
        <v>2.4197604385534977E-4</v>
      </c>
      <c r="J42" s="1" cm="1">
        <f t="array" ref="J42">SUMPRODUCT(("LNGA"=[1]OUT_PrimaryEnergyCons!$C$4:$C$10000)*1,[1]OUT_PrimaryEnergyCons!H$4:H$10000)</f>
        <v>3.6076182786701645E-4</v>
      </c>
      <c r="K42" s="1" cm="1">
        <f t="array" ref="K42">SUMPRODUCT(("LNGA"=[1]OUT_PrimaryEnergyCons!$C$4:$C$10000)*1,[1]OUT_PrimaryEnergyCons!I$4:I$10000)</f>
        <v>3.6524079352102929E-4</v>
      </c>
    </row>
    <row r="43" spans="1:11" x14ac:dyDescent="0.35">
      <c r="A43" s="5" t="str">
        <f>A37</f>
        <v>STEM</v>
      </c>
      <c r="B43" s="5" t="str">
        <f>B37</f>
        <v>SPS1</v>
      </c>
      <c r="C43" s="5" t="str">
        <f>C37</f>
        <v>CH</v>
      </c>
      <c r="D43" t="s">
        <v>785</v>
      </c>
      <c r="E43" t="s">
        <v>8</v>
      </c>
      <c r="F43" s="1" cm="1">
        <f t="array" ref="F43">SUMPRODUCT(("BIO"=[1]OUT_PrimaryEnergyCons!$C$4:$C$10000)*1+("LBIO"=[1]OUT_PrimaryEnergyCons!$C$4:$C$10000)*1,[1]OUT_PrimaryEnergyCons!D$4:D$10000)</f>
        <v>0</v>
      </c>
      <c r="G43" s="1" cm="1">
        <f t="array" ref="G43">SUMPRODUCT(("BIO"=[1]OUT_PrimaryEnergyCons!$C$4:$C$10000)*1+("LBIO"=[1]OUT_PrimaryEnergyCons!$C$4:$C$10000)*1,[1]OUT_PrimaryEnergyCons!E$4:E$10000)</f>
        <v>0.51650259108770324</v>
      </c>
      <c r="H43" s="1" cm="1">
        <f t="array" ref="H43">SUMPRODUCT(("BIO"=[1]OUT_PrimaryEnergyCons!$C$4:$C$10000)*1+("LBIO"=[1]OUT_PrimaryEnergyCons!$C$4:$C$10000)*1,[1]OUT_PrimaryEnergyCons!F$4:F$10000)</f>
        <v>1.16714406843122</v>
      </c>
      <c r="I43" s="1" cm="1">
        <f t="array" ref="I43">SUMPRODUCT(("BIO"=[1]OUT_PrimaryEnergyCons!$C$4:$C$10000)*1+("LBIO"=[1]OUT_PrimaryEnergyCons!$C$4:$C$10000)*1,[1]OUT_PrimaryEnergyCons!G$4:G$10000)</f>
        <v>4.3668776172932873</v>
      </c>
      <c r="J43" s="1" cm="1">
        <f t="array" ref="J43">SUMPRODUCT(("BIO"=[1]OUT_PrimaryEnergyCons!$C$4:$C$10000)*1+("LBIO"=[1]OUT_PrimaryEnergyCons!$C$4:$C$10000)*1,[1]OUT_PrimaryEnergyCons!H$4:H$10000)</f>
        <v>4.2992244211573674</v>
      </c>
      <c r="K43" s="1" cm="1">
        <f t="array" ref="K43">SUMPRODUCT(("BIO"=[1]OUT_PrimaryEnergyCons!$C$4:$C$10000)*1+("LBIO"=[1]OUT_PrimaryEnergyCons!$C$4:$C$10000)*1,[1]OUT_PrimaryEnergyCons!I$4:I$10000)</f>
        <v>2.1354463165778061</v>
      </c>
    </row>
    <row r="44" spans="1:11" x14ac:dyDescent="0.35">
      <c r="A44" s="5" t="str">
        <f t="shared" ref="A44:C45" si="25">A43</f>
        <v>STEM</v>
      </c>
      <c r="B44" s="5" t="str">
        <f t="shared" si="25"/>
        <v>SPS1</v>
      </c>
      <c r="C44" s="5" t="str">
        <f t="shared" si="25"/>
        <v>CH</v>
      </c>
      <c r="D44" t="s">
        <v>786</v>
      </c>
      <c r="E44" t="s">
        <v>8</v>
      </c>
      <c r="F44" s="1">
        <f t="shared" ref="F44:K44" si="26">F45</f>
        <v>0</v>
      </c>
      <c r="G44" s="1">
        <f t="shared" si="26"/>
        <v>0.51650259108770324</v>
      </c>
      <c r="H44" s="1">
        <f t="shared" si="26"/>
        <v>1.16714406843122</v>
      </c>
      <c r="I44" s="1">
        <f t="shared" si="26"/>
        <v>4.3668776172932873</v>
      </c>
      <c r="J44" s="1">
        <f t="shared" si="26"/>
        <v>4.2992244211573674</v>
      </c>
      <c r="K44" s="1">
        <f t="shared" si="26"/>
        <v>2.1354463165778061</v>
      </c>
    </row>
    <row r="45" spans="1:11" x14ac:dyDescent="0.35">
      <c r="A45" s="5" t="str">
        <f t="shared" si="25"/>
        <v>STEM</v>
      </c>
      <c r="B45" s="5" t="str">
        <f t="shared" si="25"/>
        <v>SPS1</v>
      </c>
      <c r="C45" s="5" t="str">
        <f t="shared" si="25"/>
        <v>CH</v>
      </c>
      <c r="D45" t="s">
        <v>611</v>
      </c>
      <c r="E45" t="s">
        <v>8</v>
      </c>
      <c r="F45" s="1">
        <f>F43</f>
        <v>0</v>
      </c>
      <c r="G45" s="1">
        <f>G43</f>
        <v>0.51650259108770324</v>
      </c>
      <c r="H45" s="1">
        <f>H43</f>
        <v>1.16714406843122</v>
      </c>
      <c r="I45" s="1">
        <f>I43</f>
        <v>4.3668776172932873</v>
      </c>
      <c r="J45" s="1">
        <f>IF(J43-MAX(F43:I43)&lt;0,J43,MAX(F43:I43))</f>
        <v>4.2992244211573674</v>
      </c>
      <c r="K45" s="1">
        <f>IF(K43-MAX(G43:J43)&lt;0,K43,MAX(G43:J43))</f>
        <v>2.1354463165778061</v>
      </c>
    </row>
    <row r="46" spans="1:11" x14ac:dyDescent="0.35">
      <c r="A46" s="5" t="str">
        <f>A44</f>
        <v>STEM</v>
      </c>
      <c r="B46" s="5" t="str">
        <f>B44</f>
        <v>SPS1</v>
      </c>
      <c r="C46" s="5" t="str">
        <f>C44</f>
        <v>CH</v>
      </c>
      <c r="D46" t="s">
        <v>787</v>
      </c>
      <c r="E46" t="s">
        <v>8</v>
      </c>
      <c r="F46" s="1">
        <f t="shared" ref="F46:K46" si="27">F47</f>
        <v>0</v>
      </c>
      <c r="G46" s="1">
        <f t="shared" si="27"/>
        <v>0</v>
      </c>
      <c r="H46" s="1">
        <f t="shared" si="27"/>
        <v>0</v>
      </c>
      <c r="I46" s="1">
        <f t="shared" si="27"/>
        <v>0</v>
      </c>
      <c r="J46" s="1">
        <f t="shared" si="27"/>
        <v>0</v>
      </c>
      <c r="K46" s="1">
        <f t="shared" si="27"/>
        <v>0</v>
      </c>
    </row>
    <row r="47" spans="1:11" x14ac:dyDescent="0.35">
      <c r="A47" s="5" t="str">
        <f t="shared" ref="A47" si="28">A45</f>
        <v>STEM</v>
      </c>
      <c r="B47" s="5" t="str">
        <f t="shared" ref="B47" si="29">B45</f>
        <v>SPS1</v>
      </c>
      <c r="C47" s="5" t="str">
        <f t="shared" ref="C47" si="30">C45</f>
        <v>CH</v>
      </c>
      <c r="D47" t="s">
        <v>612</v>
      </c>
      <c r="E47" t="s">
        <v>8</v>
      </c>
      <c r="F47" s="1">
        <v>0</v>
      </c>
      <c r="G47" s="1">
        <v>0</v>
      </c>
      <c r="H47" s="1">
        <v>0</v>
      </c>
      <c r="I47" s="1">
        <v>0</v>
      </c>
      <c r="J47" s="1">
        <f>J43-J45</f>
        <v>0</v>
      </c>
      <c r="K47" s="1">
        <f>K43-K45</f>
        <v>0</v>
      </c>
    </row>
    <row r="48" spans="1:11" x14ac:dyDescent="0.35">
      <c r="A48" s="5" t="str">
        <f>A42</f>
        <v>STEM</v>
      </c>
      <c r="B48" s="5" t="str">
        <f>B42</f>
        <v>SPS1</v>
      </c>
      <c r="C48" s="5" t="str">
        <f>C42</f>
        <v>CH</v>
      </c>
      <c r="D48" t="s">
        <v>788</v>
      </c>
      <c r="E48" t="s">
        <v>8</v>
      </c>
      <c r="F48" s="1" cm="1">
        <f t="array" ref="F48">SUMPRODUCT(("urn"=[1]OUT_PrimaryEnergyCons!$C$4:$C$10000)*1,[1]OUT_PrimaryEnergyCons!D$4:D$10000)</f>
        <v>250.94820788424624</v>
      </c>
      <c r="G48" s="1" cm="1">
        <f t="array" ref="G48">SUMPRODUCT(("urn"=[1]OUT_PrimaryEnergyCons!$C$4:$C$10000)*1,[1]OUT_PrimaryEnergyCons!E$4:E$10000)</f>
        <v>253.30005358253649</v>
      </c>
      <c r="H48" s="1" cm="1">
        <f t="array" ref="H48">SUMPRODUCT(("urn"=[1]OUT_PrimaryEnergyCons!$C$4:$C$10000)*1,[1]OUT_PrimaryEnergyCons!F$4:F$10000)</f>
        <v>206.09862823720431</v>
      </c>
      <c r="I48" s="1" cm="1">
        <f t="array" ref="I48">SUMPRODUCT(("urn"=[1]OUT_PrimaryEnergyCons!$C$4:$C$10000)*1,[1]OUT_PrimaryEnergyCons!G$4:G$10000)</f>
        <v>211.90227646135531</v>
      </c>
      <c r="J48" s="1" cm="1">
        <f t="array" ref="J48">SUMPRODUCT(("urn"=[1]OUT_PrimaryEnergyCons!$C$4:$C$10000)*1,[1]OUT_PrimaryEnergyCons!H$4:H$10000)</f>
        <v>98.94550646506643</v>
      </c>
      <c r="K48" s="1" cm="1">
        <f t="array" ref="K48">SUMPRODUCT(("urn"=[1]OUT_PrimaryEnergyCons!$C$4:$C$10000)*1,[1]OUT_PrimaryEnergyCons!I$4:I$10000)</f>
        <v>0</v>
      </c>
    </row>
    <row r="49" spans="1:19" x14ac:dyDescent="0.35">
      <c r="A49" s="5" t="str">
        <f>A37</f>
        <v>STEM</v>
      </c>
      <c r="B49" s="5" t="str">
        <f>B37</f>
        <v>SPS1</v>
      </c>
      <c r="C49" s="5" t="str">
        <f>C37</f>
        <v>CH</v>
      </c>
      <c r="D49" t="s">
        <v>789</v>
      </c>
      <c r="E49" t="s">
        <v>8</v>
      </c>
      <c r="F49" s="1">
        <f>SUM(F50:F53)</f>
        <v>97.160027462060512</v>
      </c>
      <c r="G49" s="1">
        <f t="shared" ref="G49:K49" si="31">SUM(G50:G53)</f>
        <v>50.274163090958041</v>
      </c>
      <c r="H49" s="1">
        <f t="shared" si="31"/>
        <v>50.452067426997964</v>
      </c>
      <c r="I49" s="1">
        <f t="shared" si="31"/>
        <v>50.747607325319514</v>
      </c>
      <c r="J49" s="1">
        <f t="shared" si="31"/>
        <v>36.998432294071513</v>
      </c>
      <c r="K49" s="1">
        <f t="shared" si="31"/>
        <v>32.612610442629972</v>
      </c>
    </row>
    <row r="50" spans="1:19" x14ac:dyDescent="0.35">
      <c r="A50" s="5" t="str">
        <f t="shared" si="4"/>
        <v>STEM</v>
      </c>
      <c r="B50" s="5" t="str">
        <f t="shared" si="5"/>
        <v>SPS1</v>
      </c>
      <c r="C50" s="5" t="str">
        <f t="shared" si="6"/>
        <v>CH</v>
      </c>
      <c r="D50" t="s">
        <v>20</v>
      </c>
      <c r="E50" t="s">
        <v>8</v>
      </c>
      <c r="F50" s="1" cm="1">
        <f t="array" ref="F50">SUMPRODUCT(([1]OUT_Electricity_CHP!$B$1:$B$10000="G-INTC-IMP00-AT")*1,([1]OUT_Electricity_CHP!$C$1:$C$10000="Var_Fout")*1,ISNUMBER(SEARCH("ELC",[1]OUT_Electricity_CHP!$D$1:$D$10000))*1,[1]OUT_Electricity_CHP!E$1:E$10000)</f>
        <v>15.013814141465092</v>
      </c>
      <c r="G50" s="1" cm="1">
        <f t="array" ref="G50">SUMPRODUCT(([1]OUT_Electricity_CHP!$B$1:$B$10000="G-INTC-IMP00-AT")*1,([1]OUT_Electricity_CHP!$C$1:$C$10000="Var_Fout")*1,ISNUMBER(SEARCH("ELC",[1]OUT_Electricity_CHP!$D$1:$D$10000))*1,[1]OUT_Electricity_CHP!F$1:F$10000)</f>
        <v>4.3204928735125563</v>
      </c>
      <c r="H50" s="1" cm="1">
        <f t="array" ref="H50">SUMPRODUCT(([1]OUT_Electricity_CHP!$B$1:$B$10000="G-INTC-IMP00-AT")*1,([1]OUT_Electricity_CHP!$C$1:$C$10000="Var_Fout")*1,ISNUMBER(SEARCH("ELC",[1]OUT_Electricity_CHP!$D$1:$D$10000))*1,[1]OUT_Electricity_CHP!G$1:G$10000)</f>
        <v>2.0307765689723114</v>
      </c>
      <c r="I50" s="1" cm="1">
        <f t="array" ref="I50">SUMPRODUCT(([1]OUT_Electricity_CHP!$B$1:$B$10000="G-INTC-IMP00-AT")*1,([1]OUT_Electricity_CHP!$C$1:$C$10000="Var_Fout")*1,ISNUMBER(SEARCH("ELC",[1]OUT_Electricity_CHP!$D$1:$D$10000))*1,[1]OUT_Electricity_CHP!H$1:H$10000)</f>
        <v>2.9115626485468815</v>
      </c>
      <c r="J50" s="1" cm="1">
        <f t="array" ref="J50">SUMPRODUCT(([1]OUT_Electricity_CHP!$B$1:$B$10000="G-INTC-IMP00-AT")*1,([1]OUT_Electricity_CHP!$C$1:$C$10000="Var_Fout")*1,ISNUMBER(SEARCH("ELC",[1]OUT_Electricity_CHP!$D$1:$D$10000))*1,[1]OUT_Electricity_CHP!I$1:I$10000)</f>
        <v>1.9081917742478123</v>
      </c>
      <c r="K50" s="1" cm="1">
        <f t="array" ref="K50">SUMPRODUCT(([1]OUT_Electricity_CHP!$B$1:$B$10000="G-INTC-IMP00-AT")*1,([1]OUT_Electricity_CHP!$C$1:$C$10000="Var_Fout")*1,ISNUMBER(SEARCH("ELC",[1]OUT_Electricity_CHP!$D$1:$D$10000))*1,[1]OUT_Electricity_CHP!J$1:J$10000)</f>
        <v>3.7335547971060401</v>
      </c>
    </row>
    <row r="51" spans="1:19" x14ac:dyDescent="0.35">
      <c r="A51" s="5" t="str">
        <f t="shared" si="4"/>
        <v>STEM</v>
      </c>
      <c r="B51" s="5" t="str">
        <f t="shared" si="5"/>
        <v>SPS1</v>
      </c>
      <c r="C51" s="5" t="str">
        <f t="shared" si="6"/>
        <v>CH</v>
      </c>
      <c r="D51" t="s">
        <v>21</v>
      </c>
      <c r="E51" t="s">
        <v>8</v>
      </c>
      <c r="F51" s="1" cm="1">
        <f t="array" ref="F51">SUMPRODUCT(([1]OUT_Electricity_CHP!$B$1:$B$10000="G-INTC-IMP00-fr")*1,([1]OUT_Electricity_CHP!$C$1:$C$10000="Var_Fout")*1,ISNUMBER(SEARCH("ELC",[1]OUT_Electricity_CHP!$D$1:$D$10000))*1,[1]OUT_Electricity_CHP!E$1:E$10000)</f>
        <v>28.94862936472105</v>
      </c>
      <c r="G51" s="1" cm="1">
        <f t="array" ref="G51">SUMPRODUCT(([1]OUT_Electricity_CHP!$B$1:$B$10000="G-INTC-IMP00-fr")*1,([1]OUT_Electricity_CHP!$C$1:$C$10000="Var_Fout")*1,ISNUMBER(SEARCH("ELC",[1]OUT_Electricity_CHP!$D$1:$D$10000))*1,[1]OUT_Electricity_CHP!F$1:F$10000)</f>
        <v>20.217566815582675</v>
      </c>
      <c r="H51" s="1" cm="1">
        <f t="array" ref="H51">SUMPRODUCT(([1]OUT_Electricity_CHP!$B$1:$B$10000="G-INTC-IMP00-fr")*1,([1]OUT_Electricity_CHP!$C$1:$C$10000="Var_Fout")*1,ISNUMBER(SEARCH("ELC",[1]OUT_Electricity_CHP!$D$1:$D$10000))*1,[1]OUT_Electricity_CHP!G$1:G$10000)</f>
        <v>25.378443032155136</v>
      </c>
      <c r="I51" s="1" cm="1">
        <f t="array" ref="I51">SUMPRODUCT(([1]OUT_Electricity_CHP!$B$1:$B$10000="G-INTC-IMP00-fr")*1,([1]OUT_Electricity_CHP!$C$1:$C$10000="Var_Fout")*1,ISNUMBER(SEARCH("ELC",[1]OUT_Electricity_CHP!$D$1:$D$10000))*1,[1]OUT_Electricity_CHP!H$1:H$10000)</f>
        <v>16.825877380270427</v>
      </c>
      <c r="J51" s="1" cm="1">
        <f t="array" ref="J51">SUMPRODUCT(([1]OUT_Electricity_CHP!$B$1:$B$10000="G-INTC-IMP00-fr")*1,([1]OUT_Electricity_CHP!$C$1:$C$10000="Var_Fout")*1,ISNUMBER(SEARCH("ELC",[1]OUT_Electricity_CHP!$D$1:$D$10000))*1,[1]OUT_Electricity_CHP!I$1:I$10000)</f>
        <v>11.17109182773166</v>
      </c>
      <c r="K51" s="1" cm="1">
        <f t="array" ref="K51">SUMPRODUCT(([1]OUT_Electricity_CHP!$B$1:$B$10000="G-INTC-IMP00-fr")*1,([1]OUT_Electricity_CHP!$C$1:$C$10000="Var_Fout")*1,ISNUMBER(SEARCH("ELC",[1]OUT_Electricity_CHP!$D$1:$D$10000))*1,[1]OUT_Electricity_CHP!J$1:J$10000)</f>
        <v>10.037705918001192</v>
      </c>
    </row>
    <row r="52" spans="1:19" x14ac:dyDescent="0.35">
      <c r="A52" s="5" t="str">
        <f t="shared" si="4"/>
        <v>STEM</v>
      </c>
      <c r="B52" s="5" t="str">
        <f t="shared" si="5"/>
        <v>SPS1</v>
      </c>
      <c r="C52" s="5" t="str">
        <f t="shared" si="6"/>
        <v>CH</v>
      </c>
      <c r="D52" t="s">
        <v>22</v>
      </c>
      <c r="E52" t="s">
        <v>8</v>
      </c>
      <c r="F52" s="1" cm="1">
        <f t="array" ref="F52">SUMPRODUCT(([1]OUT_Electricity_CHP!$B$1:$B$10000="G-INTC-IMP00-de")*1,([1]OUT_Electricity_CHP!$C$1:$C$10000="Var_Fout")*1,ISNUMBER(SEARCH("ELC",[1]OUT_Electricity_CHP!$D$1:$D$10000))*1,[1]OUT_Electricity_CHP!E$1:E$10000)</f>
        <v>46.398483406385218</v>
      </c>
      <c r="G52" s="1" cm="1">
        <f t="array" ref="G52">SUMPRODUCT(([1]OUT_Electricity_CHP!$B$1:$B$10000="G-INTC-IMP00-de")*1,([1]OUT_Electricity_CHP!$C$1:$C$10000="Var_Fout")*1,ISNUMBER(SEARCH("ELC",[1]OUT_Electricity_CHP!$D$1:$D$10000))*1,[1]OUT_Electricity_CHP!F$1:F$10000)</f>
        <v>25.735845815098717</v>
      </c>
      <c r="H52" s="1" cm="1">
        <f t="array" ref="H52">SUMPRODUCT(([1]OUT_Electricity_CHP!$B$1:$B$10000="G-INTC-IMP00-de")*1,([1]OUT_Electricity_CHP!$C$1:$C$10000="Var_Fout")*1,ISNUMBER(SEARCH("ELC",[1]OUT_Electricity_CHP!$D$1:$D$10000))*1,[1]OUT_Electricity_CHP!G$1:G$10000)</f>
        <v>23.042620092013728</v>
      </c>
      <c r="I52" s="1" cm="1">
        <f t="array" ref="I52">SUMPRODUCT(([1]OUT_Electricity_CHP!$B$1:$B$10000="G-INTC-IMP00-de")*1,([1]OUT_Electricity_CHP!$C$1:$C$10000="Var_Fout")*1,ISNUMBER(SEARCH("ELC",[1]OUT_Electricity_CHP!$D$1:$D$10000))*1,[1]OUT_Electricity_CHP!H$1:H$10000)</f>
        <v>31.010062498079158</v>
      </c>
      <c r="J52" s="1" cm="1">
        <f t="array" ref="J52">SUMPRODUCT(([1]OUT_Electricity_CHP!$B$1:$B$10000="G-INTC-IMP00-de")*1,([1]OUT_Electricity_CHP!$C$1:$C$10000="Var_Fout")*1,ISNUMBER(SEARCH("ELC",[1]OUT_Electricity_CHP!$D$1:$D$10000))*1,[1]OUT_Electricity_CHP!I$1:I$10000)</f>
        <v>23.919019057715573</v>
      </c>
      <c r="K52" s="1" cm="1">
        <f t="array" ref="K52">SUMPRODUCT(([1]OUT_Electricity_CHP!$B$1:$B$10000="G-INTC-IMP00-de")*1,([1]OUT_Electricity_CHP!$C$1:$C$10000="Var_Fout")*1,ISNUMBER(SEARCH("ELC",[1]OUT_Electricity_CHP!$D$1:$D$10000))*1,[1]OUT_Electricity_CHP!J$1:J$10000)</f>
        <v>18.841259378333234</v>
      </c>
    </row>
    <row r="53" spans="1:19" x14ac:dyDescent="0.35">
      <c r="A53" s="5" t="str">
        <f t="shared" si="4"/>
        <v>STEM</v>
      </c>
      <c r="B53" s="5" t="str">
        <f t="shared" si="5"/>
        <v>SPS1</v>
      </c>
      <c r="C53" s="5" t="str">
        <f t="shared" si="6"/>
        <v>CH</v>
      </c>
      <c r="D53" t="s">
        <v>23</v>
      </c>
      <c r="E53" t="s">
        <v>8</v>
      </c>
      <c r="F53" s="1" cm="1">
        <f t="array" ref="F53">SUMPRODUCT(([1]OUT_Electricity_CHP!$B$1:$B$10000="G-INTC-IMP00-it")*1,([1]OUT_Electricity_CHP!$C$1:$C$10000="Var_Fout")*1,ISNUMBER(SEARCH("ELC",[1]OUT_Electricity_CHP!$D$1:$D$10000))*1,[1]OUT_Electricity_CHP!E$1:E$10000)</f>
        <v>6.7991005494891574</v>
      </c>
      <c r="G53" s="1" cm="1">
        <f t="array" ref="G53">SUMPRODUCT(([1]OUT_Electricity_CHP!$B$1:$B$10000="G-INTC-IMP00-it")*1,([1]OUT_Electricity_CHP!$C$1:$C$10000="Var_Fout")*1,ISNUMBER(SEARCH("ELC",[1]OUT_Electricity_CHP!$D$1:$D$10000))*1,[1]OUT_Electricity_CHP!F$1:F$10000)</f>
        <v>2.5758676409023978E-4</v>
      </c>
      <c r="H53" s="1" cm="1">
        <f t="array" ref="H53">SUMPRODUCT(([1]OUT_Electricity_CHP!$B$1:$B$10000="G-INTC-IMP00-it")*1,([1]OUT_Electricity_CHP!$C$1:$C$10000="Var_Fout")*1,ISNUMBER(SEARCH("ELC",[1]OUT_Electricity_CHP!$D$1:$D$10000))*1,[1]OUT_Electricity_CHP!G$1:G$10000)</f>
        <v>2.2773385679180776E-4</v>
      </c>
      <c r="I53" s="1" cm="1">
        <f t="array" ref="I53">SUMPRODUCT(([1]OUT_Electricity_CHP!$B$1:$B$10000="G-INTC-IMP00-it")*1,([1]OUT_Electricity_CHP!$C$1:$C$10000="Var_Fout")*1,ISNUMBER(SEARCH("ELC",[1]OUT_Electricity_CHP!$D$1:$D$10000))*1,[1]OUT_Electricity_CHP!H$1:H$10000)</f>
        <v>1.047984230454022E-4</v>
      </c>
      <c r="J53" s="1" cm="1">
        <f t="array" ref="J53">SUMPRODUCT(([1]OUT_Electricity_CHP!$B$1:$B$10000="G-INTC-IMP00-it")*1,([1]OUT_Electricity_CHP!$C$1:$C$10000="Var_Fout")*1,ISNUMBER(SEARCH("ELC",[1]OUT_Electricity_CHP!$D$1:$D$10000))*1,[1]OUT_Electricity_CHP!I$1:I$10000)</f>
        <v>1.296343764716452E-4</v>
      </c>
      <c r="K53" s="1" cm="1">
        <f t="array" ref="K53">SUMPRODUCT(([1]OUT_Electricity_CHP!$B$1:$B$10000="G-INTC-IMP00-it")*1,([1]OUT_Electricity_CHP!$C$1:$C$10000="Var_Fout")*1,ISNUMBER(SEARCH("ELC",[1]OUT_Electricity_CHP!$D$1:$D$10000))*1,[1]OUT_Electricity_CHP!J$1:J$10000)</f>
        <v>9.0349189504093419E-5</v>
      </c>
    </row>
    <row r="54" spans="1:19" x14ac:dyDescent="0.35">
      <c r="A54" s="5" t="str">
        <f t="shared" ref="A54" si="32">A53</f>
        <v>STEM</v>
      </c>
      <c r="B54" s="5" t="str">
        <f t="shared" ref="B54" si="33">B53</f>
        <v>SPS1</v>
      </c>
      <c r="C54" s="5" t="str">
        <f t="shared" ref="C54" si="34">C53</f>
        <v>CH</v>
      </c>
      <c r="D54" t="s">
        <v>790</v>
      </c>
      <c r="E54" t="s">
        <v>8</v>
      </c>
      <c r="F54" s="1" cm="1">
        <f t="array" ref="F54">SUMPRODUCT(("h2"=[1]OUT_PrimaryEnergyCons!$C$4:$C$10000)*1,[1]OUT_PrimaryEnergyCons!D$4:D$10000)</f>
        <v>0</v>
      </c>
      <c r="G54" s="1" cm="1">
        <f t="array" ref="G54">SUMPRODUCT(("h2"=[1]OUT_PrimaryEnergyCons!$C$4:$C$10000)*1,[1]OUT_PrimaryEnergyCons!E$4:E$10000)</f>
        <v>0</v>
      </c>
      <c r="H54" s="1" cm="1">
        <f t="array" ref="H54">SUMPRODUCT(("h2"=[1]OUT_PrimaryEnergyCons!$C$4:$C$10000)*1,[1]OUT_PrimaryEnergyCons!F$4:F$10000)</f>
        <v>0</v>
      </c>
      <c r="I54" s="1" cm="1">
        <f t="array" ref="I54">SUMPRODUCT(("h2"=[1]OUT_PrimaryEnergyCons!$C$4:$C$10000)*1,[1]OUT_PrimaryEnergyCons!G$4:G$10000)</f>
        <v>0</v>
      </c>
      <c r="J54" s="1" cm="1">
        <f t="array" ref="J54">SUMPRODUCT(("h2"=[1]OUT_PrimaryEnergyCons!$C$4:$C$10000)*1,[1]OUT_PrimaryEnergyCons!H$4:H$10000)</f>
        <v>2.7929129304174021</v>
      </c>
      <c r="K54" s="1" cm="1">
        <f t="array" ref="K54">SUMPRODUCT(("h2"=[1]OUT_PrimaryEnergyCons!$C$4:$C$10000)*1,[1]OUT_PrimaryEnergyCons!I$4:I$10000)</f>
        <v>2.792914887581456</v>
      </c>
    </row>
    <row r="55" spans="1:19" x14ac:dyDescent="0.35">
      <c r="A55" s="9" t="str">
        <f>A53</f>
        <v>STEM</v>
      </c>
      <c r="B55" s="9" t="str">
        <f>B53</f>
        <v>SPS1</v>
      </c>
      <c r="C55" s="2" t="str">
        <f>C53</f>
        <v>CH</v>
      </c>
      <c r="D55" s="2" t="s">
        <v>24</v>
      </c>
      <c r="E55" s="2" t="s">
        <v>8</v>
      </c>
      <c r="F55" s="3">
        <f>F56</f>
        <v>117.17002472888984</v>
      </c>
      <c r="G55" s="3">
        <f t="shared" ref="G55:K55" si="35">G56</f>
        <v>35.390675191037616</v>
      </c>
      <c r="H55" s="3">
        <f t="shared" si="35"/>
        <v>54.780170123949119</v>
      </c>
      <c r="I55" s="3">
        <f t="shared" si="35"/>
        <v>55.709530733694159</v>
      </c>
      <c r="J55" s="3">
        <f t="shared" si="35"/>
        <v>17.103115024540731</v>
      </c>
      <c r="K55" s="3">
        <f t="shared" si="35"/>
        <v>15.773877898877473</v>
      </c>
      <c r="N55" s="1"/>
      <c r="O55" s="1"/>
      <c r="P55" s="1"/>
      <c r="Q55" s="1"/>
      <c r="R55" s="1"/>
      <c r="S55" s="1"/>
    </row>
    <row r="56" spans="1:19" x14ac:dyDescent="0.35">
      <c r="A56" s="5" t="str">
        <f>A55</f>
        <v>STEM</v>
      </c>
      <c r="B56" s="5" t="str">
        <f t="shared" si="5"/>
        <v>SPS1</v>
      </c>
      <c r="C56" s="5" t="str">
        <f t="shared" si="6"/>
        <v>CH</v>
      </c>
      <c r="D56" t="s">
        <v>791</v>
      </c>
      <c r="E56" t="str">
        <f>E55</f>
        <v>PJ/yr.</v>
      </c>
      <c r="F56" s="1">
        <f>SUM(F57:F60)</f>
        <v>117.17002472888984</v>
      </c>
      <c r="G56" s="1">
        <f t="shared" ref="G56:K56" si="36">SUM(G57:G60)</f>
        <v>35.390675191037616</v>
      </c>
      <c r="H56" s="1">
        <f t="shared" si="36"/>
        <v>54.780170123949119</v>
      </c>
      <c r="I56" s="1">
        <f t="shared" si="36"/>
        <v>55.709530733694159</v>
      </c>
      <c r="J56" s="1">
        <f t="shared" si="36"/>
        <v>17.103115024540731</v>
      </c>
      <c r="K56" s="1">
        <f t="shared" si="36"/>
        <v>15.773877898877473</v>
      </c>
      <c r="N56" s="1"/>
    </row>
    <row r="57" spans="1:19" x14ac:dyDescent="0.35">
      <c r="A57" s="5" t="str">
        <f t="shared" ref="A57:A61" si="37">A56</f>
        <v>STEM</v>
      </c>
      <c r="B57" s="5" t="str">
        <f t="shared" si="5"/>
        <v>SPS1</v>
      </c>
      <c r="C57" s="5" t="str">
        <f t="shared" si="6"/>
        <v>CH</v>
      </c>
      <c r="D57" t="s">
        <v>25</v>
      </c>
      <c r="E57" t="str">
        <f t="shared" ref="E57:E60" si="38">E56</f>
        <v>PJ/yr.</v>
      </c>
      <c r="F57" s="1" cm="1">
        <f t="array" ref="F57">SUMPRODUCT(([1]OUT_Electricity_CHP!$B$1:$B$10000="G-INTC-exp00-AT")*1,([1]OUT_Electricity_CHP!$C$1:$C$10000="Var_Fout")*1,ISNUMBER(SEARCH("ELC",[1]OUT_Electricity_CHP!$D$1:$D$10000))*1,[1]OUT_Electricity_CHP!E$1:E$10000)</f>
        <v>6.2295633465615854</v>
      </c>
      <c r="G57" s="1" cm="1">
        <f t="array" ref="G57">SUMPRODUCT(([1]OUT_Electricity_CHP!$B$1:$B$10000="G-INTC-exp00-AT")*1,([1]OUT_Electricity_CHP!$C$1:$C$10000="Var_Fout")*1,ISNUMBER(SEARCH("ELC",[1]OUT_Electricity_CHP!$D$1:$D$10000))*1,[1]OUT_Electricity_CHP!F$1:F$10000)</f>
        <v>4.1373637255562193E-4</v>
      </c>
      <c r="H57" s="1" cm="1">
        <f t="array" ref="H57">SUMPRODUCT(([1]OUT_Electricity_CHP!$B$1:$B$10000="G-INTC-exp00-AT")*1,([1]OUT_Electricity_CHP!$C$1:$C$10000="Var_Fout")*1,ISNUMBER(SEARCH("ELC",[1]OUT_Electricity_CHP!$D$1:$D$10000))*1,[1]OUT_Electricity_CHP!G$1:G$10000)</f>
        <v>5.026837298330618E-4</v>
      </c>
      <c r="I57" s="1" cm="1">
        <f t="array" ref="I57">SUMPRODUCT(([1]OUT_Electricity_CHP!$B$1:$B$10000="G-INTC-exp00-AT")*1,([1]OUT_Electricity_CHP!$C$1:$C$10000="Var_Fout")*1,ISNUMBER(SEARCH("ELC",[1]OUT_Electricity_CHP!$D$1:$D$10000))*1,[1]OUT_Electricity_CHP!H$1:H$10000)</f>
        <v>1.0517653153165656E-4</v>
      </c>
      <c r="J57" s="1" cm="1">
        <f t="array" ref="J57">SUMPRODUCT(([1]OUT_Electricity_CHP!$B$1:$B$10000="G-INTC-exp00-AT")*1,([1]OUT_Electricity_CHP!$C$1:$C$10000="Var_Fout")*1,ISNUMBER(SEARCH("ELC",[1]OUT_Electricity_CHP!$D$1:$D$10000))*1,[1]OUT_Electricity_CHP!I$1:I$10000)</f>
        <v>1.5344012976821657E-4</v>
      </c>
      <c r="K57" s="1" cm="1">
        <f t="array" ref="K57">SUMPRODUCT(([1]OUT_Electricity_CHP!$B$1:$B$10000="G-INTC-exp00-AT")*1,([1]OUT_Electricity_CHP!$C$1:$C$10000="Var_Fout")*1,ISNUMBER(SEARCH("ELC",[1]OUT_Electricity_CHP!$D$1:$D$10000))*1,[1]OUT_Electricity_CHP!J$1:J$10000)</f>
        <v>6.5514599285148128E-5</v>
      </c>
    </row>
    <row r="58" spans="1:19" x14ac:dyDescent="0.35">
      <c r="A58" s="5" t="str">
        <f t="shared" si="37"/>
        <v>STEM</v>
      </c>
      <c r="B58" s="5" t="str">
        <f t="shared" si="5"/>
        <v>SPS1</v>
      </c>
      <c r="C58" s="5" t="str">
        <f t="shared" si="6"/>
        <v>CH</v>
      </c>
      <c r="D58" t="s">
        <v>26</v>
      </c>
      <c r="E58" t="str">
        <f t="shared" si="38"/>
        <v>PJ/yr.</v>
      </c>
      <c r="F58" s="1" cm="1">
        <f t="array" ref="F58">SUMPRODUCT(([1]OUT_Electricity_CHP!$B$1:$B$10000="G-INTC-exp00-fr")*1,([1]OUT_Electricity_CHP!$C$1:$C$10000="Var_Fout")*1,ISNUMBER(SEARCH("ELC",[1]OUT_Electricity_CHP!$D$1:$D$10000))*1,[1]OUT_Electricity_CHP!E$1:E$10000)</f>
        <v>12.753365144021915</v>
      </c>
      <c r="G58" s="1" cm="1">
        <f t="array" ref="G58">SUMPRODUCT(([1]OUT_Electricity_CHP!$B$1:$B$10000="G-INTC-exp00-fr")*1,([1]OUT_Electricity_CHP!$C$1:$C$10000="Var_Fout")*1,ISNUMBER(SEARCH("ELC",[1]OUT_Electricity_CHP!$D$1:$D$10000))*1,[1]OUT_Electricity_CHP!F$1:F$10000)</f>
        <v>3.4775920317069332E-4</v>
      </c>
      <c r="H58" s="1" cm="1">
        <f t="array" ref="H58">SUMPRODUCT(([1]OUT_Electricity_CHP!$B$1:$B$10000="G-INTC-exp00-fr")*1,([1]OUT_Electricity_CHP!$C$1:$C$10000="Var_Fout")*1,ISNUMBER(SEARCH("ELC",[1]OUT_Electricity_CHP!$D$1:$D$10000))*1,[1]OUT_Electricity_CHP!G$1:G$10000)</f>
        <v>3.3882670347765674E-4</v>
      </c>
      <c r="I58" s="1" cm="1">
        <f t="array" ref="I58">SUMPRODUCT(([1]OUT_Electricity_CHP!$B$1:$B$10000="G-INTC-exp00-fr")*1,([1]OUT_Electricity_CHP!$C$1:$C$10000="Var_Fout")*1,ISNUMBER(SEARCH("ELC",[1]OUT_Electricity_CHP!$D$1:$D$10000))*1,[1]OUT_Electricity_CHP!H$1:H$10000)</f>
        <v>1.8029857044013256E-4</v>
      </c>
      <c r="J58" s="1" cm="1">
        <f t="array" ref="J58">SUMPRODUCT(([1]OUT_Electricity_CHP!$B$1:$B$10000="G-INTC-exp00-fr")*1,([1]OUT_Electricity_CHP!$C$1:$C$10000="Var_Fout")*1,ISNUMBER(SEARCH("ELC",[1]OUT_Electricity_CHP!$D$1:$D$10000))*1,[1]OUT_Electricity_CHP!I$1:I$10000)</f>
        <v>7.0452037929413455E-4</v>
      </c>
      <c r="K58" s="1" cm="1">
        <f t="array" ref="K58">SUMPRODUCT(([1]OUT_Electricity_CHP!$B$1:$B$10000="G-INTC-exp00-fr")*1,([1]OUT_Electricity_CHP!$C$1:$C$10000="Var_Fout")*1,ISNUMBER(SEARCH("ELC",[1]OUT_Electricity_CHP!$D$1:$D$10000))*1,[1]OUT_Electricity_CHP!J$1:J$10000)</f>
        <v>3.9071524506130564E-4</v>
      </c>
    </row>
    <row r="59" spans="1:19" x14ac:dyDescent="0.35">
      <c r="A59" s="5" t="str">
        <f t="shared" si="37"/>
        <v>STEM</v>
      </c>
      <c r="B59" s="5" t="str">
        <f t="shared" si="5"/>
        <v>SPS1</v>
      </c>
      <c r="C59" s="5" t="str">
        <f t="shared" si="6"/>
        <v>CH</v>
      </c>
      <c r="D59" t="s">
        <v>27</v>
      </c>
      <c r="E59" t="str">
        <f t="shared" si="38"/>
        <v>PJ/yr.</v>
      </c>
      <c r="F59" s="1" cm="1">
        <f t="array" ref="F59">SUMPRODUCT(([1]OUT_Electricity_CHP!$B$1:$B$10000="G-INTC-exp00-de")*1,([1]OUT_Electricity_CHP!$C$1:$C$10000="Var_Fout")*1,ISNUMBER(SEARCH("ELC",[1]OUT_Electricity_CHP!$D$1:$D$10000))*1,[1]OUT_Electricity_CHP!E$1:E$10000)</f>
        <v>26.492981758017205</v>
      </c>
      <c r="G59" s="1" cm="1">
        <f t="array" ref="G59">SUMPRODUCT(([1]OUT_Electricity_CHP!$B$1:$B$10000="G-INTC-exp00-de")*1,([1]OUT_Electricity_CHP!$C$1:$C$10000="Var_Fout")*1,ISNUMBER(SEARCH("ELC",[1]OUT_Electricity_CHP!$D$1:$D$10000))*1,[1]OUT_Electricity_CHP!F$1:F$10000)</f>
        <v>2.6445416339847581E-4</v>
      </c>
      <c r="H59" s="1" cm="1">
        <f t="array" ref="H59">SUMPRODUCT(([1]OUT_Electricity_CHP!$B$1:$B$10000="G-INTC-exp00-de")*1,([1]OUT_Electricity_CHP!$C$1:$C$10000="Var_Fout")*1,ISNUMBER(SEARCH("ELC",[1]OUT_Electricity_CHP!$D$1:$D$10000))*1,[1]OUT_Electricity_CHP!G$1:G$10000)</f>
        <v>2.9444340926409123E-4</v>
      </c>
      <c r="I59" s="1" cm="1">
        <f t="array" ref="I59">SUMPRODUCT(([1]OUT_Electricity_CHP!$B$1:$B$10000="G-INTC-exp00-de")*1,([1]OUT_Electricity_CHP!$C$1:$C$10000="Var_Fout")*1,ISNUMBER(SEARCH("ELC",[1]OUT_Electricity_CHP!$D$1:$D$10000))*1,[1]OUT_Electricity_CHP!H$1:H$10000)</f>
        <v>2.6277067774163799E-4</v>
      </c>
      <c r="J59" s="1" cm="1">
        <f t="array" ref="J59">SUMPRODUCT(([1]OUT_Electricity_CHP!$B$1:$B$10000="G-INTC-exp00-de")*1,([1]OUT_Electricity_CHP!$C$1:$C$10000="Var_Fout")*1,ISNUMBER(SEARCH("ELC",[1]OUT_Electricity_CHP!$D$1:$D$10000))*1,[1]OUT_Electricity_CHP!I$1:I$10000)</f>
        <v>7.4170820034714501E-4</v>
      </c>
      <c r="K59" s="1" cm="1">
        <f t="array" ref="K59">SUMPRODUCT(([1]OUT_Electricity_CHP!$B$1:$B$10000="G-INTC-exp00-de")*1,([1]OUT_Electricity_CHP!$C$1:$C$10000="Var_Fout")*1,ISNUMBER(SEARCH("ELC",[1]OUT_Electricity_CHP!$D$1:$D$10000))*1,[1]OUT_Electricity_CHP!J$1:J$10000)</f>
        <v>2.0290546369404588E-4</v>
      </c>
    </row>
    <row r="60" spans="1:19" x14ac:dyDescent="0.35">
      <c r="A60" s="5" t="str">
        <f t="shared" si="37"/>
        <v>STEM</v>
      </c>
      <c r="B60" s="5" t="str">
        <f t="shared" si="5"/>
        <v>SPS1</v>
      </c>
      <c r="C60" s="5" t="str">
        <f t="shared" si="6"/>
        <v>CH</v>
      </c>
      <c r="D60" t="s">
        <v>28</v>
      </c>
      <c r="E60" t="str">
        <f t="shared" si="38"/>
        <v>PJ/yr.</v>
      </c>
      <c r="F60" s="1" cm="1">
        <f t="array" ref="F60">SUMPRODUCT(([1]OUT_Electricity_CHP!$B$1:$B$10000="G-INTC-exp00-it")*1,([1]OUT_Electricity_CHP!$C$1:$C$10000="Var_Fout")*1,ISNUMBER(SEARCH("ELC",[1]OUT_Electricity_CHP!$D$1:$D$10000))*1,[1]OUT_Electricity_CHP!E$1:E$10000)</f>
        <v>71.694114480289144</v>
      </c>
      <c r="G60" s="1" cm="1">
        <f t="array" ref="G60">SUMPRODUCT(([1]OUT_Electricity_CHP!$B$1:$B$10000="G-INTC-exp00-it")*1,([1]OUT_Electricity_CHP!$C$1:$C$10000="Var_Fout")*1,ISNUMBER(SEARCH("ELC",[1]OUT_Electricity_CHP!$D$1:$D$10000))*1,[1]OUT_Electricity_CHP!F$1:F$10000)</f>
        <v>35.389649241298493</v>
      </c>
      <c r="H60" s="1" cm="1">
        <f t="array" ref="H60">SUMPRODUCT(([1]OUT_Electricity_CHP!$B$1:$B$10000="G-INTC-exp00-it")*1,([1]OUT_Electricity_CHP!$C$1:$C$10000="Var_Fout")*1,ISNUMBER(SEARCH("ELC",[1]OUT_Electricity_CHP!$D$1:$D$10000))*1,[1]OUT_Electricity_CHP!G$1:G$10000)</f>
        <v>54.779034170106542</v>
      </c>
      <c r="I60" s="1" cm="1">
        <f t="array" ref="I60">SUMPRODUCT(([1]OUT_Electricity_CHP!$B$1:$B$10000="G-INTC-exp00-it")*1,([1]OUT_Electricity_CHP!$C$1:$C$10000="Var_Fout")*1,ISNUMBER(SEARCH("ELC",[1]OUT_Electricity_CHP!$D$1:$D$10000))*1,[1]OUT_Electricity_CHP!H$1:H$10000)</f>
        <v>55.708982487914447</v>
      </c>
      <c r="J60" s="1" cm="1">
        <f t="array" ref="J60">SUMPRODUCT(([1]OUT_Electricity_CHP!$B$1:$B$10000="G-INTC-exp00-it")*1,([1]OUT_Electricity_CHP!$C$1:$C$10000="Var_Fout")*1,ISNUMBER(SEARCH("ELC",[1]OUT_Electricity_CHP!$D$1:$D$10000))*1,[1]OUT_Electricity_CHP!I$1:I$10000)</f>
        <v>17.101515355831321</v>
      </c>
      <c r="K60" s="1" cm="1">
        <f t="array" ref="K60">SUMPRODUCT(([1]OUT_Electricity_CHP!$B$1:$B$10000="G-INTC-exp00-it")*1,([1]OUT_Electricity_CHP!$C$1:$C$10000="Var_Fout")*1,ISNUMBER(SEARCH("ELC",[1]OUT_Electricity_CHP!$D$1:$D$10000))*1,[1]OUT_Electricity_CHP!J$1:J$10000)</f>
        <v>15.773218763569432</v>
      </c>
    </row>
    <row r="61" spans="1:19" x14ac:dyDescent="0.35">
      <c r="A61" s="9" t="str">
        <f t="shared" si="37"/>
        <v>STEM</v>
      </c>
      <c r="B61" s="9" t="str">
        <f t="shared" ref="B61:B62" si="39">B60</f>
        <v>SPS1</v>
      </c>
      <c r="C61" s="2" t="str">
        <f t="shared" ref="C61:C62" si="40">C60</f>
        <v>CH</v>
      </c>
      <c r="D61" s="2" t="s">
        <v>29</v>
      </c>
      <c r="E61" s="2" t="s">
        <v>8</v>
      </c>
      <c r="F61" s="3">
        <f>SUM(F62,F64,F68,F80,F128,F149,F157,F159,F167,F171,F165)</f>
        <v>251.11066125447704</v>
      </c>
      <c r="G61" s="3">
        <f t="shared" ref="G61:K61" si="41">SUM(G62,G64,G72,G80,G128,G149,G157,G159,G167,G171,G165)</f>
        <v>229.29724454144522</v>
      </c>
      <c r="H61" s="3">
        <f t="shared" si="41"/>
        <v>277.47055916998096</v>
      </c>
      <c r="I61" s="3">
        <f t="shared" si="41"/>
        <v>269.1932771969677</v>
      </c>
      <c r="J61" s="3">
        <f t="shared" si="41"/>
        <v>278.25239898111994</v>
      </c>
      <c r="K61" s="3">
        <f t="shared" si="41"/>
        <v>294.97622955064577</v>
      </c>
    </row>
    <row r="62" spans="1:19" x14ac:dyDescent="0.35">
      <c r="A62" s="5" t="str">
        <f>A61</f>
        <v>STEM</v>
      </c>
      <c r="B62" s="5" t="str">
        <f t="shared" si="39"/>
        <v>SPS1</v>
      </c>
      <c r="C62" s="5" t="str">
        <f t="shared" si="40"/>
        <v>CH</v>
      </c>
      <c r="D62" t="s">
        <v>792</v>
      </c>
      <c r="E62" t="str">
        <f>E60</f>
        <v>PJ/yr.</v>
      </c>
      <c r="F62" s="1">
        <f>+F63</f>
        <v>82.76000465260185</v>
      </c>
      <c r="G62" s="1">
        <f t="shared" ref="G62:K62" si="42">+G63</f>
        <v>82.759989533387227</v>
      </c>
      <c r="H62" s="1">
        <f t="shared" si="42"/>
        <v>67.103174328569565</v>
      </c>
      <c r="I62" s="1">
        <f t="shared" si="42"/>
        <v>69.934407070168248</v>
      </c>
      <c r="J62" s="1">
        <f t="shared" si="42"/>
        <v>32.820802341313581</v>
      </c>
      <c r="K62" s="1">
        <f t="shared" si="42"/>
        <v>0</v>
      </c>
    </row>
    <row r="63" spans="1:19" x14ac:dyDescent="0.35">
      <c r="A63" s="5" t="str">
        <f t="shared" ref="A63:A147" si="43">A62</f>
        <v>STEM</v>
      </c>
      <c r="B63" s="5" t="str">
        <f t="shared" ref="B63:B147" si="44">B62</f>
        <v>SPS1</v>
      </c>
      <c r="C63" s="5" t="str">
        <f t="shared" ref="C63:C147" si="45">C62</f>
        <v>CH</v>
      </c>
      <c r="D63" t="s">
        <v>30</v>
      </c>
      <c r="E63" t="str">
        <f>E61</f>
        <v>PJ/yr.</v>
      </c>
      <c r="F63" s="1">
        <f>'[1]Electricity and CHPs'!B14</f>
        <v>82.76000465260185</v>
      </c>
      <c r="G63" s="1">
        <f>'[1]Electricity and CHPs'!C14</f>
        <v>82.759989533387227</v>
      </c>
      <c r="H63" s="1">
        <f>'[1]Electricity and CHPs'!D14</f>
        <v>67.103174328569565</v>
      </c>
      <c r="I63" s="1">
        <f>'[1]Electricity and CHPs'!E14</f>
        <v>69.934407070168248</v>
      </c>
      <c r="J63" s="1">
        <f>'[1]Electricity and CHPs'!F14</f>
        <v>32.820802341313581</v>
      </c>
      <c r="K63" s="1">
        <f>'[1]Electricity and CHPs'!G14</f>
        <v>0</v>
      </c>
    </row>
    <row r="64" spans="1:19" x14ac:dyDescent="0.35">
      <c r="A64" s="5" t="str">
        <f t="shared" si="43"/>
        <v>STEM</v>
      </c>
      <c r="B64" s="5" t="str">
        <f t="shared" si="44"/>
        <v>SPS1</v>
      </c>
      <c r="C64" s="5" t="str">
        <f t="shared" si="45"/>
        <v>CH</v>
      </c>
      <c r="D64" t="s">
        <v>793</v>
      </c>
      <c r="E64" t="str">
        <f>E63</f>
        <v>PJ/yr.</v>
      </c>
      <c r="F64" s="1">
        <f>SUM(F65:F67)</f>
        <v>146.22000653160026</v>
      </c>
      <c r="G64" s="1">
        <f t="shared" ref="G64:K64" si="46">SUM(G65:G67)</f>
        <v>121.59673183578204</v>
      </c>
      <c r="H64" s="1">
        <f t="shared" si="46"/>
        <v>169.22634478517699</v>
      </c>
      <c r="I64" s="1">
        <f t="shared" si="46"/>
        <v>147.72773069234859</v>
      </c>
      <c r="J64" s="1">
        <f t="shared" si="46"/>
        <v>148.35027716972232</v>
      </c>
      <c r="K64" s="1">
        <f t="shared" si="46"/>
        <v>148.79839029556942</v>
      </c>
    </row>
    <row r="65" spans="1:11" x14ac:dyDescent="0.35">
      <c r="A65" s="5" t="str">
        <f t="shared" si="43"/>
        <v>STEM</v>
      </c>
      <c r="B65" s="5" t="str">
        <f t="shared" si="44"/>
        <v>SPS1</v>
      </c>
      <c r="C65" s="5" t="str">
        <f t="shared" si="45"/>
        <v>CH</v>
      </c>
      <c r="D65" t="s">
        <v>31</v>
      </c>
      <c r="E65" t="str">
        <f>E63</f>
        <v>PJ/yr.</v>
      </c>
      <c r="F65" s="1">
        <f>'[1]Electricity and CHPs'!B15</f>
        <v>66.745680254990347</v>
      </c>
      <c r="G65" s="1">
        <f>'[1]Electricity and CHPs'!C15</f>
        <v>49.798800132421839</v>
      </c>
      <c r="H65" s="1">
        <f>'[1]Electricity and CHPs'!D15</f>
        <v>68.534753880992568</v>
      </c>
      <c r="I65" s="1">
        <f>'[1]Electricity and CHPs'!E15</f>
        <v>70.674053749448348</v>
      </c>
      <c r="J65" s="1">
        <f>'[1]Electricity and CHPs'!F15</f>
        <v>72.726673527690465</v>
      </c>
      <c r="K65" s="1">
        <f>'[1]Electricity and CHPs'!G15</f>
        <v>74.835177080932695</v>
      </c>
    </row>
    <row r="66" spans="1:11" x14ac:dyDescent="0.35">
      <c r="A66" s="5" t="str">
        <f t="shared" si="43"/>
        <v>STEM</v>
      </c>
      <c r="B66" s="5" t="str">
        <f t="shared" si="44"/>
        <v>SPS1</v>
      </c>
      <c r="C66" s="5" t="str">
        <f t="shared" si="45"/>
        <v>CH</v>
      </c>
      <c r="D66" t="s">
        <v>32</v>
      </c>
      <c r="E66" t="str">
        <f t="shared" ref="E66:E67" si="47">E65</f>
        <v>PJ/yr.</v>
      </c>
      <c r="F66" s="1">
        <f>'[1]Electricity and CHPs'!B16</f>
        <v>66.63240339221673</v>
      </c>
      <c r="G66" s="1">
        <f>'[1]Electricity and CHPs'!C16</f>
        <v>55.764002869629728</v>
      </c>
      <c r="H66" s="1">
        <f>'[1]Electricity and CHPs'!D16</f>
        <v>65.550592645327413</v>
      </c>
      <c r="I66" s="1">
        <f>'[1]Electricity and CHPs'!E16</f>
        <v>64.47402554118807</v>
      </c>
      <c r="J66" s="1">
        <f>'[1]Electricity and CHPs'!F16</f>
        <v>62.590508052977171</v>
      </c>
      <c r="K66" s="1">
        <f>'[1]Electricity and CHPs'!G16</f>
        <v>60.48200508705731</v>
      </c>
    </row>
    <row r="67" spans="1:11" x14ac:dyDescent="0.35">
      <c r="A67" s="5" t="str">
        <f t="shared" si="43"/>
        <v>STEM</v>
      </c>
      <c r="B67" s="5" t="str">
        <f t="shared" si="44"/>
        <v>SPS1</v>
      </c>
      <c r="C67" s="5" t="str">
        <f t="shared" si="45"/>
        <v>CH</v>
      </c>
      <c r="D67" t="s">
        <v>33</v>
      </c>
      <c r="E67" t="str">
        <f t="shared" si="47"/>
        <v>PJ/yr.</v>
      </c>
      <c r="F67" s="1">
        <f>'[1]Electricity and CHPs'!B17</f>
        <v>12.841922884393187</v>
      </c>
      <c r="G67" s="1">
        <f>'[1]Electricity and CHPs'!C17</f>
        <v>16.033928833730471</v>
      </c>
      <c r="H67" s="1">
        <f>'[1]Electricity and CHPs'!D17</f>
        <v>35.140998258857003</v>
      </c>
      <c r="I67" s="1">
        <f>'[1]Electricity and CHPs'!E17</f>
        <v>12.579651401712155</v>
      </c>
      <c r="J67" s="1">
        <f>'[1]Electricity and CHPs'!F17</f>
        <v>13.033095589054684</v>
      </c>
      <c r="K67" s="1">
        <f>'[1]Electricity and CHPs'!G17</f>
        <v>13.481208127579405</v>
      </c>
    </row>
    <row r="68" spans="1:11" x14ac:dyDescent="0.35">
      <c r="A68" s="5" t="str">
        <f>A59</f>
        <v>STEM</v>
      </c>
      <c r="B68" s="5" t="str">
        <f>B59</f>
        <v>SPS1</v>
      </c>
      <c r="C68" s="5" t="str">
        <f>C59</f>
        <v>CH</v>
      </c>
      <c r="D68" t="s">
        <v>794</v>
      </c>
      <c r="E68" t="str">
        <f>E59</f>
        <v>PJ/yr.</v>
      </c>
      <c r="F68" s="1">
        <f>SUM(F69:F71)</f>
        <v>0.1119140434594259</v>
      </c>
      <c r="G68" s="1">
        <f t="shared" ref="G68" si="48">SUM(G69:G71)</f>
        <v>0.17153181811910181</v>
      </c>
      <c r="H68" s="1">
        <f t="shared" ref="H68" si="49">SUM(H69:H71)</f>
        <v>1.2834940680285269E-2</v>
      </c>
      <c r="I68" s="1">
        <f t="shared" ref="I68" si="50">SUM(I69:I71)</f>
        <v>0.17153965688775816</v>
      </c>
      <c r="J68" s="1">
        <f t="shared" ref="J68" si="51">SUM(J69:J71)</f>
        <v>0.17156021640660163</v>
      </c>
      <c r="K68" s="1">
        <f t="shared" ref="K68" si="52">SUM(K69:K71)</f>
        <v>4.6173859919983927E-5</v>
      </c>
    </row>
    <row r="69" spans="1:11" x14ac:dyDescent="0.35">
      <c r="A69" s="5" t="str">
        <f>A68</f>
        <v>STEM</v>
      </c>
      <c r="B69" s="5" t="str">
        <f>B68</f>
        <v>SPS1</v>
      </c>
      <c r="C69" s="5" t="str">
        <f>C68</f>
        <v>CH</v>
      </c>
      <c r="D69" t="s">
        <v>34</v>
      </c>
      <c r="E69" t="str">
        <f>E59</f>
        <v>PJ/yr.</v>
      </c>
      <c r="F69" s="1">
        <f>'[1]Electricity and CHPs'!B18</f>
        <v>3.960320105929338E-2</v>
      </c>
      <c r="G69" s="1">
        <f>'[1]Electricity and CHPs'!C18</f>
        <v>1.896500199839607E-5</v>
      </c>
      <c r="H69" s="1">
        <f>'[1]Electricity and CHPs'!D18</f>
        <v>1.6302896276131833E-3</v>
      </c>
      <c r="I69" s="1">
        <f>'[1]Electricity and CHPs'!E18</f>
        <v>2.1010068357868133E-4</v>
      </c>
      <c r="J69" s="1">
        <f>'[1]Electricity and CHPs'!F18</f>
        <v>0.17115488500411999</v>
      </c>
      <c r="K69" s="1">
        <f>'[1]Electricity and CHPs'!G18</f>
        <v>3.6655740251303954E-5</v>
      </c>
    </row>
    <row r="70" spans="1:11" x14ac:dyDescent="0.35">
      <c r="A70" s="5" t="str">
        <f t="shared" ref="A70:A71" si="53">A69</f>
        <v>STEM</v>
      </c>
      <c r="B70" s="5" t="str">
        <f t="shared" ref="B70:B71" si="54">B69</f>
        <v>SPS1</v>
      </c>
      <c r="C70" s="5" t="str">
        <f t="shared" ref="C70:C71" si="55">C69</f>
        <v>CH</v>
      </c>
      <c r="D70" t="s">
        <v>228</v>
      </c>
      <c r="E70" t="str">
        <f>E124</f>
        <v>PJ/yr.</v>
      </c>
      <c r="F70" s="1">
        <f>'[1]Electricity and CHPs'!B28</f>
        <v>1.803013673846607E-3</v>
      </c>
      <c r="G70" s="1">
        <f>'[1]Electricity and CHPs'!C28</f>
        <v>1.2075910509146066E-5</v>
      </c>
      <c r="H70" s="1">
        <f>'[1]Electricity and CHPs'!D28</f>
        <v>5.6159778629402983E-4</v>
      </c>
      <c r="I70" s="1">
        <f>'[1]Electricity and CHPs'!E28</f>
        <v>1.5761689026100586E-4</v>
      </c>
      <c r="J70" s="1">
        <f>'[1]Electricity and CHPs'!F28</f>
        <v>4.0533140248163546E-4</v>
      </c>
      <c r="K70" s="1">
        <f>'[1]Electricity and CHPs'!G28</f>
        <v>9.518119668679972E-6</v>
      </c>
    </row>
    <row r="71" spans="1:11" x14ac:dyDescent="0.35">
      <c r="A71" s="5" t="str">
        <f t="shared" si="53"/>
        <v>STEM</v>
      </c>
      <c r="B71" s="5" t="str">
        <f t="shared" si="54"/>
        <v>SPS1</v>
      </c>
      <c r="C71" s="5" t="str">
        <f t="shared" si="55"/>
        <v>CH</v>
      </c>
      <c r="D71" t="s">
        <v>40</v>
      </c>
      <c r="E71" t="str">
        <f>E79</f>
        <v>PJ/yr.</v>
      </c>
      <c r="F71" s="1">
        <f>'[1]Electricity and CHPs'!B41</f>
        <v>7.0507828726285915E-2</v>
      </c>
      <c r="G71" s="1">
        <f>'[1]Electricity and CHPs'!C41</f>
        <v>0.17150077720659426</v>
      </c>
      <c r="H71" s="1">
        <f>'[1]Electricity and CHPs'!D41</f>
        <v>1.0643053266378056E-2</v>
      </c>
      <c r="I71" s="1">
        <f>'[1]Electricity and CHPs'!E41</f>
        <v>0.17117193931391847</v>
      </c>
      <c r="J71" s="1">
        <f>'[1]Electricity and CHPs'!F41</f>
        <v>0</v>
      </c>
      <c r="K71" s="1">
        <f>'[1]Electricity and CHPs'!G41</f>
        <v>0</v>
      </c>
    </row>
    <row r="72" spans="1:11" x14ac:dyDescent="0.35">
      <c r="A72" s="5" t="str">
        <f>A67</f>
        <v>STEM</v>
      </c>
      <c r="B72" s="5" t="str">
        <f>B67</f>
        <v>SPS1</v>
      </c>
      <c r="C72" s="5" t="str">
        <f>C67</f>
        <v>CH</v>
      </c>
      <c r="D72" t="s">
        <v>795</v>
      </c>
      <c r="E72" t="str">
        <f>E67</f>
        <v>PJ/yr.</v>
      </c>
      <c r="F72" s="1">
        <f>SUM(F73:F75)</f>
        <v>0.1119140434594259</v>
      </c>
      <c r="G72" s="1">
        <f t="shared" ref="G72:K72" si="56">SUM(G73:G75)</f>
        <v>0.17153181811910181</v>
      </c>
      <c r="H72" s="1">
        <f t="shared" si="56"/>
        <v>1.2834940680285269E-2</v>
      </c>
      <c r="I72" s="1">
        <f t="shared" si="56"/>
        <v>0.17153965688775816</v>
      </c>
      <c r="J72" s="1">
        <f t="shared" si="56"/>
        <v>0.17156021640660163</v>
      </c>
      <c r="K72" s="1">
        <f t="shared" si="56"/>
        <v>4.6173859919983927E-5</v>
      </c>
    </row>
    <row r="73" spans="1:11" x14ac:dyDescent="0.35">
      <c r="A73" s="5" t="str">
        <f>A72</f>
        <v>STEM</v>
      </c>
      <c r="B73" s="5" t="str">
        <f>B72</f>
        <v>SPS1</v>
      </c>
      <c r="C73" s="5" t="str">
        <f>C72</f>
        <v>CH</v>
      </c>
      <c r="D73" t="s">
        <v>514</v>
      </c>
      <c r="E73" t="str">
        <f>E67</f>
        <v>PJ/yr.</v>
      </c>
      <c r="F73" s="1">
        <f>F69</f>
        <v>3.960320105929338E-2</v>
      </c>
      <c r="G73" s="1">
        <f t="shared" ref="G73:K73" si="57">G69</f>
        <v>1.896500199839607E-5</v>
      </c>
      <c r="H73" s="1">
        <f t="shared" si="57"/>
        <v>1.6302896276131833E-3</v>
      </c>
      <c r="I73" s="1">
        <f t="shared" si="57"/>
        <v>2.1010068357868133E-4</v>
      </c>
      <c r="J73" s="1">
        <f t="shared" si="57"/>
        <v>0.17115488500411999</v>
      </c>
      <c r="K73" s="1">
        <f t="shared" si="57"/>
        <v>3.6655740251303954E-5</v>
      </c>
    </row>
    <row r="74" spans="1:11" x14ac:dyDescent="0.35">
      <c r="A74" s="5" t="str">
        <f t="shared" si="43"/>
        <v>STEM</v>
      </c>
      <c r="B74" s="5" t="str">
        <f t="shared" si="44"/>
        <v>SPS1</v>
      </c>
      <c r="C74" s="5" t="str">
        <f t="shared" si="45"/>
        <v>CH</v>
      </c>
      <c r="D74" t="s">
        <v>515</v>
      </c>
      <c r="E74" t="str">
        <f>E132</f>
        <v>PJ/yr.</v>
      </c>
      <c r="F74" s="1">
        <f>'[1]Electricity and CHPs'!B28</f>
        <v>1.803013673846607E-3</v>
      </c>
      <c r="G74" s="1">
        <f>'[1]Electricity and CHPs'!C28</f>
        <v>1.2075910509146066E-5</v>
      </c>
      <c r="H74" s="1">
        <f>'[1]Electricity and CHPs'!D28</f>
        <v>5.6159778629402983E-4</v>
      </c>
      <c r="I74" s="1">
        <f>'[1]Electricity and CHPs'!E28</f>
        <v>1.5761689026100586E-4</v>
      </c>
      <c r="J74" s="1">
        <f>'[1]Electricity and CHPs'!F28</f>
        <v>4.0533140248163546E-4</v>
      </c>
      <c r="K74" s="1">
        <f>'[1]Electricity and CHPs'!G28</f>
        <v>9.518119668679972E-6</v>
      </c>
    </row>
    <row r="75" spans="1:11" x14ac:dyDescent="0.35">
      <c r="A75" s="5" t="str">
        <f t="shared" si="43"/>
        <v>STEM</v>
      </c>
      <c r="B75" s="5" t="str">
        <f t="shared" si="44"/>
        <v>SPS1</v>
      </c>
      <c r="C75" s="5" t="str">
        <f t="shared" si="45"/>
        <v>CH</v>
      </c>
      <c r="D75" t="s">
        <v>516</v>
      </c>
      <c r="E75" t="str">
        <f>E87</f>
        <v>PJ/yr.</v>
      </c>
      <c r="F75" s="1">
        <f>'[1]Electricity and CHPs'!B41</f>
        <v>7.0507828726285915E-2</v>
      </c>
      <c r="G75" s="1">
        <f>'[1]Electricity and CHPs'!C41</f>
        <v>0.17150077720659426</v>
      </c>
      <c r="H75" s="1">
        <f>'[1]Electricity and CHPs'!D41</f>
        <v>1.0643053266378056E-2</v>
      </c>
      <c r="I75" s="1">
        <f>'[1]Electricity and CHPs'!E41</f>
        <v>0.17117193931391847</v>
      </c>
      <c r="J75" s="1">
        <f>'[1]Electricity and CHPs'!F41</f>
        <v>0</v>
      </c>
      <c r="K75" s="1">
        <f>'[1]Electricity and CHPs'!G41</f>
        <v>0</v>
      </c>
    </row>
    <row r="76" spans="1:11" x14ac:dyDescent="0.35">
      <c r="A76" s="5" t="str">
        <f t="shared" ref="A76:C77" si="58">A74</f>
        <v>STEM</v>
      </c>
      <c r="B76" s="5" t="str">
        <f t="shared" si="58"/>
        <v>SPS1</v>
      </c>
      <c r="C76" s="5" t="str">
        <f t="shared" si="58"/>
        <v>CH</v>
      </c>
      <c r="D76" t="s">
        <v>796</v>
      </c>
      <c r="E76" t="str">
        <f>E73</f>
        <v>PJ/yr.</v>
      </c>
      <c r="F76" s="1">
        <f>SUM(F77:F79)</f>
        <v>0</v>
      </c>
      <c r="G76" s="1">
        <f t="shared" ref="G76:K76" si="59">SUM(G77:G79)</f>
        <v>0</v>
      </c>
      <c r="H76" s="1">
        <f t="shared" si="59"/>
        <v>0</v>
      </c>
      <c r="I76" s="1">
        <f t="shared" si="59"/>
        <v>0</v>
      </c>
      <c r="J76" s="1">
        <f t="shared" si="59"/>
        <v>0</v>
      </c>
      <c r="K76" s="1">
        <f t="shared" si="59"/>
        <v>0</v>
      </c>
    </row>
    <row r="77" spans="1:11" x14ac:dyDescent="0.35">
      <c r="A77" s="5" t="str">
        <f t="shared" si="58"/>
        <v>STEM</v>
      </c>
      <c r="B77" s="5" t="str">
        <f t="shared" si="58"/>
        <v>SPS1</v>
      </c>
      <c r="C77" s="5" t="str">
        <f t="shared" si="58"/>
        <v>CH</v>
      </c>
      <c r="D77" t="s">
        <v>538</v>
      </c>
      <c r="E77" t="str">
        <f>E74</f>
        <v>PJ/yr.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 x14ac:dyDescent="0.35">
      <c r="A78" s="5" t="str">
        <f t="shared" si="43"/>
        <v>STEM</v>
      </c>
      <c r="B78" s="5" t="str">
        <f t="shared" si="44"/>
        <v>SPS1</v>
      </c>
      <c r="C78" s="5" t="str">
        <f t="shared" si="45"/>
        <v>CH</v>
      </c>
      <c r="D78" t="s">
        <v>539</v>
      </c>
      <c r="E78" t="str">
        <f>E135</f>
        <v>PJ/yr.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 x14ac:dyDescent="0.35">
      <c r="A79" s="5" t="str">
        <f t="shared" si="43"/>
        <v>STEM</v>
      </c>
      <c r="B79" s="5" t="str">
        <f t="shared" si="44"/>
        <v>SPS1</v>
      </c>
      <c r="C79" s="5" t="str">
        <f t="shared" si="45"/>
        <v>CH</v>
      </c>
      <c r="D79" t="s">
        <v>540</v>
      </c>
      <c r="E79" t="str">
        <f>E90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 x14ac:dyDescent="0.35">
      <c r="A80" s="5" t="str">
        <f t="shared" si="43"/>
        <v>STEM</v>
      </c>
      <c r="B80" s="5" t="str">
        <f t="shared" si="44"/>
        <v>SPS1</v>
      </c>
      <c r="C80" s="5" t="str">
        <f t="shared" si="45"/>
        <v>CH</v>
      </c>
      <c r="D80" t="s">
        <v>797</v>
      </c>
      <c r="E80" t="str">
        <f>E129</f>
        <v>PJ/yr.</v>
      </c>
      <c r="F80" s="1">
        <f>SUM(F81:F95)</f>
        <v>3.2309148966382901</v>
      </c>
      <c r="G80" s="1">
        <f t="shared" ref="G80:K80" si="60">SUM(G81:G95)</f>
        <v>1.9064676140130121</v>
      </c>
      <c r="H80" s="1">
        <f t="shared" si="60"/>
        <v>1.4109096457277388</v>
      </c>
      <c r="I80" s="1">
        <f t="shared" si="60"/>
        <v>1.7231909571886064</v>
      </c>
      <c r="J80" s="1">
        <f t="shared" si="60"/>
        <v>2.0548509534929535</v>
      </c>
      <c r="K80" s="1">
        <f t="shared" si="60"/>
        <v>1.8098291349173357</v>
      </c>
    </row>
    <row r="81" spans="1:11" x14ac:dyDescent="0.35">
      <c r="A81" s="5" t="str">
        <f t="shared" si="43"/>
        <v>STEM</v>
      </c>
      <c r="B81" s="5" t="str">
        <f t="shared" si="44"/>
        <v>SPS1</v>
      </c>
      <c r="C81" s="5" t="str">
        <f t="shared" si="45"/>
        <v>CH</v>
      </c>
      <c r="D81" t="s">
        <v>35</v>
      </c>
      <c r="E81" t="str">
        <f>E130</f>
        <v>PJ/yr.</v>
      </c>
      <c r="F81" s="1">
        <f>'[1]Electricity and CHPs'!B21</f>
        <v>0</v>
      </c>
      <c r="G81" s="1">
        <f>'[1]Electricity and CHPs'!C21</f>
        <v>0</v>
      </c>
      <c r="H81" s="1">
        <f>'[1]Electricity and CHPs'!D21</f>
        <v>0</v>
      </c>
      <c r="I81" s="1">
        <f>'[1]Electricity and CHPs'!E21</f>
        <v>0</v>
      </c>
      <c r="J81" s="1">
        <f>'[1]Electricity and CHPs'!F21</f>
        <v>9.4742901290220891E-6</v>
      </c>
      <c r="K81" s="1">
        <f>'[1]Electricity and CHPs'!G21</f>
        <v>1.0337399837807694E-2</v>
      </c>
    </row>
    <row r="82" spans="1:11" x14ac:dyDescent="0.35">
      <c r="A82" s="5" t="str">
        <f t="shared" si="43"/>
        <v>STEM</v>
      </c>
      <c r="B82" s="5" t="str">
        <f t="shared" si="44"/>
        <v>SPS1</v>
      </c>
      <c r="C82" s="5" t="str">
        <f t="shared" si="45"/>
        <v>CH</v>
      </c>
      <c r="D82" t="s">
        <v>36</v>
      </c>
      <c r="E82" t="str">
        <f>E81</f>
        <v>PJ/yr.</v>
      </c>
      <c r="F82" s="1">
        <f>'[1]Electricity and CHPs'!B22</f>
        <v>0</v>
      </c>
      <c r="G82" s="1">
        <f>'[1]Electricity and CHPs'!C22</f>
        <v>0</v>
      </c>
      <c r="H82" s="1">
        <f>'[1]Electricity and CHPs'!D22</f>
        <v>0</v>
      </c>
      <c r="I82" s="1">
        <f>'[1]Electricity and CHPs'!E22</f>
        <v>0</v>
      </c>
      <c r="J82" s="1">
        <f>'[1]Electricity and CHPs'!F22</f>
        <v>3.2767575889685644E-6</v>
      </c>
      <c r="K82" s="1">
        <f>'[1]Electricity and CHPs'!G22</f>
        <v>2.3553849316117287E-2</v>
      </c>
    </row>
    <row r="83" spans="1:11" x14ac:dyDescent="0.35">
      <c r="A83" s="5" t="str">
        <f t="shared" si="43"/>
        <v>STEM</v>
      </c>
      <c r="B83" s="5" t="str">
        <f t="shared" si="44"/>
        <v>SPS1</v>
      </c>
      <c r="C83" s="5" t="str">
        <f t="shared" si="45"/>
        <v>CH</v>
      </c>
      <c r="D83" t="s">
        <v>37</v>
      </c>
      <c r="E83" t="str">
        <f>E82</f>
        <v>PJ/yr.</v>
      </c>
      <c r="F83" s="1">
        <f>'[1]Electricity and CHPs'!B23</f>
        <v>0</v>
      </c>
      <c r="G83" s="1">
        <f>'[1]Electricity and CHPs'!C23</f>
        <v>0</v>
      </c>
      <c r="H83" s="1">
        <f>'[1]Electricity and CHPs'!D23</f>
        <v>0</v>
      </c>
      <c r="I83" s="1">
        <f>'[1]Electricity and CHPs'!E23</f>
        <v>0</v>
      </c>
      <c r="J83" s="1">
        <f>'[1]Electricity and CHPs'!F23</f>
        <v>0</v>
      </c>
      <c r="K83" s="1">
        <f>'[1]Electricity and CHPs'!G23</f>
        <v>0</v>
      </c>
    </row>
    <row r="84" spans="1:11" x14ac:dyDescent="0.35">
      <c r="A84" s="5" t="str">
        <f t="shared" si="43"/>
        <v>STEM</v>
      </c>
      <c r="B84" s="5" t="str">
        <f t="shared" si="44"/>
        <v>SPS1</v>
      </c>
      <c r="C84" s="5" t="str">
        <f t="shared" si="45"/>
        <v>CH</v>
      </c>
      <c r="D84" t="s">
        <v>38</v>
      </c>
      <c r="E84" t="str">
        <f>E83</f>
        <v>PJ/yr.</v>
      </c>
      <c r="F84" s="1">
        <f>'[1]Electricity and CHPs'!B24</f>
        <v>0.9658829888816659</v>
      </c>
      <c r="G84" s="1">
        <f>'[1]Electricity and CHPs'!C24</f>
        <v>1.1353411454200475E-4</v>
      </c>
      <c r="H84" s="1">
        <f>'[1]Electricity and CHPs'!D24</f>
        <v>4.8526120076363024E-4</v>
      </c>
      <c r="I84" s="1">
        <f>'[1]Electricity and CHPs'!E24</f>
        <v>0</v>
      </c>
      <c r="J84" s="1">
        <f>'[1]Electricity and CHPs'!F24</f>
        <v>0</v>
      </c>
      <c r="K84" s="1">
        <f>'[1]Electricity and CHPs'!G24</f>
        <v>0</v>
      </c>
    </row>
    <row r="85" spans="1:11" x14ac:dyDescent="0.35">
      <c r="A85" s="5" t="str">
        <f t="shared" si="43"/>
        <v>STEM</v>
      </c>
      <c r="B85" s="5" t="str">
        <f t="shared" si="44"/>
        <v>SPS1</v>
      </c>
      <c r="C85" s="5" t="str">
        <f t="shared" si="45"/>
        <v>CH</v>
      </c>
      <c r="D85" t="s">
        <v>39</v>
      </c>
      <c r="E85" t="str">
        <f>E74</f>
        <v>PJ/yr.</v>
      </c>
      <c r="F85" s="1">
        <f>'[1]Electricity and CHPs'!B29</f>
        <v>0</v>
      </c>
      <c r="G85" s="1">
        <f>'[1]Electricity and CHPs'!C29</f>
        <v>0</v>
      </c>
      <c r="H85" s="1">
        <f>'[1]Electricity and CHPs'!D29</f>
        <v>0</v>
      </c>
      <c r="I85" s="1">
        <f>'[1]Electricity and CHPs'!E29</f>
        <v>0</v>
      </c>
      <c r="J85" s="1">
        <f>'[1]Electricity and CHPs'!F29</f>
        <v>0</v>
      </c>
      <c r="K85" s="1">
        <f>'[1]Electricity and CHPs'!G29</f>
        <v>0</v>
      </c>
    </row>
    <row r="86" spans="1:11" x14ac:dyDescent="0.35">
      <c r="A86" s="5" t="str">
        <f t="shared" si="43"/>
        <v>STEM</v>
      </c>
      <c r="B86" s="5" t="str">
        <f t="shared" si="44"/>
        <v>SPS1</v>
      </c>
      <c r="C86" s="5" t="str">
        <f t="shared" si="45"/>
        <v>CH</v>
      </c>
      <c r="D86" t="s">
        <v>41</v>
      </c>
      <c r="E86" t="str">
        <f>E164</f>
        <v>PJ/yr.</v>
      </c>
      <c r="F86" s="1">
        <f>'[1]Electricity and CHPs'!B39</f>
        <v>0.66998053728445306</v>
      </c>
      <c r="G86" s="1">
        <f>'[1]Electricity and CHPs'!C39</f>
        <v>8.9728723846753983E-2</v>
      </c>
      <c r="H86" s="1">
        <f>'[1]Electricity and CHPs'!D39</f>
        <v>5.1512683758403781E-2</v>
      </c>
      <c r="I86" s="1">
        <f>'[1]Electricity and CHPs'!E39</f>
        <v>0.10663747871529879</v>
      </c>
      <c r="J86" s="1">
        <f>'[1]Electricity and CHPs'!F39</f>
        <v>0.66546002587379116</v>
      </c>
      <c r="K86" s="1">
        <f>'[1]Electricity and CHPs'!G39</f>
        <v>0.42387157276595083</v>
      </c>
    </row>
    <row r="87" spans="1:11" x14ac:dyDescent="0.35">
      <c r="A87" s="5" t="str">
        <f t="shared" si="43"/>
        <v>STEM</v>
      </c>
      <c r="B87" s="5" t="str">
        <f t="shared" si="44"/>
        <v>SPS1</v>
      </c>
      <c r="C87" s="5" t="str">
        <f t="shared" si="45"/>
        <v>CH</v>
      </c>
      <c r="D87" t="s">
        <v>42</v>
      </c>
      <c r="E87" t="str">
        <f>E86</f>
        <v>PJ/yr.</v>
      </c>
      <c r="F87" s="1">
        <f>'[1]Electricity and CHPs'!B40</f>
        <v>0</v>
      </c>
      <c r="G87" s="1">
        <f>'[1]Electricity and CHPs'!C40</f>
        <v>0</v>
      </c>
      <c r="H87" s="1">
        <f>'[1]Electricity and CHPs'!D40</f>
        <v>0</v>
      </c>
      <c r="I87" s="1">
        <f>'[1]Electricity and CHPs'!E40</f>
        <v>0</v>
      </c>
      <c r="J87" s="1">
        <f>'[1]Electricity and CHPs'!F40</f>
        <v>1.8038127339361928E-3</v>
      </c>
      <c r="K87" s="1">
        <f>'[1]Electricity and CHPs'!G40</f>
        <v>0.24510244842424073</v>
      </c>
    </row>
    <row r="88" spans="1:11" x14ac:dyDescent="0.35">
      <c r="A88" s="5" t="str">
        <f t="shared" si="43"/>
        <v>STEM</v>
      </c>
      <c r="B88" s="5" t="str">
        <f t="shared" si="44"/>
        <v>SPS1</v>
      </c>
      <c r="C88" s="5" t="str">
        <f t="shared" si="45"/>
        <v>CH</v>
      </c>
      <c r="D88" t="s">
        <v>43</v>
      </c>
      <c r="E88" t="str">
        <f>E169</f>
        <v>PJ/yr.</v>
      </c>
      <c r="F88" s="1">
        <f>'[1]Electricity and CHPs'!B47</f>
        <v>0</v>
      </c>
      <c r="G88" s="1">
        <f>'[1]Electricity and CHPs'!C47</f>
        <v>0</v>
      </c>
      <c r="H88" s="1">
        <f>'[1]Electricity and CHPs'!D47</f>
        <v>0</v>
      </c>
      <c r="I88" s="1">
        <f>'[1]Electricity and CHPs'!E47</f>
        <v>2.2930145714510742E-4</v>
      </c>
      <c r="J88" s="1">
        <f>'[1]Electricity and CHPs'!F47</f>
        <v>2.724071708175315E-3</v>
      </c>
      <c r="K88" s="1">
        <f>'[1]Electricity and CHPs'!G47</f>
        <v>1.0223222316030184E-3</v>
      </c>
    </row>
    <row r="89" spans="1:11" x14ac:dyDescent="0.35">
      <c r="A89" s="5" t="str">
        <f t="shared" si="43"/>
        <v>STEM</v>
      </c>
      <c r="B89" s="5" t="str">
        <f t="shared" si="44"/>
        <v>SPS1</v>
      </c>
      <c r="C89" s="5" t="str">
        <f t="shared" si="45"/>
        <v>CH</v>
      </c>
      <c r="D89" t="s">
        <v>44</v>
      </c>
      <c r="E89" t="str">
        <f>E88</f>
        <v>PJ/yr.</v>
      </c>
      <c r="F89" s="1">
        <f>'[1]Electricity and CHPs'!B48</f>
        <v>1.3548999175948095E-2</v>
      </c>
      <c r="G89" s="1">
        <f>'[1]Electricity and CHPs'!C48</f>
        <v>2.2912844610038737E-3</v>
      </c>
      <c r="H89" s="1">
        <f>'[1]Electricity and CHPs'!D48</f>
        <v>3.6374513237858578E-3</v>
      </c>
      <c r="I89" s="1">
        <f>'[1]Electricity and CHPs'!E48</f>
        <v>7.604142713417846E-3</v>
      </c>
      <c r="J89" s="1">
        <f>'[1]Electricity and CHPs'!F48</f>
        <v>2.1971490343487251E-3</v>
      </c>
      <c r="K89" s="1">
        <f>'[1]Electricity and CHPs'!G48</f>
        <v>0</v>
      </c>
    </row>
    <row r="90" spans="1:11" x14ac:dyDescent="0.35">
      <c r="A90" s="5" t="str">
        <f t="shared" si="43"/>
        <v>STEM</v>
      </c>
      <c r="B90" s="5" t="str">
        <f t="shared" si="44"/>
        <v>SPS1</v>
      </c>
      <c r="C90" s="5" t="str">
        <f t="shared" si="45"/>
        <v>CH</v>
      </c>
      <c r="D90" t="s">
        <v>45</v>
      </c>
      <c r="E90" t="str">
        <f>E89</f>
        <v>PJ/yr.</v>
      </c>
      <c r="F90" s="1">
        <f>'[1]Electricity and CHPs'!B49</f>
        <v>0</v>
      </c>
      <c r="G90" s="1">
        <f>'[1]Electricity and CHPs'!C49</f>
        <v>0</v>
      </c>
      <c r="H90" s="1">
        <f>'[1]Electricity and CHPs'!D49</f>
        <v>0</v>
      </c>
      <c r="I90" s="1">
        <f>'[1]Electricity and CHPs'!E49</f>
        <v>0</v>
      </c>
      <c r="J90" s="1">
        <f>'[1]Electricity and CHPs'!F49</f>
        <v>0</v>
      </c>
      <c r="K90" s="1">
        <f>'[1]Electricity and CHPs'!G49</f>
        <v>0</v>
      </c>
    </row>
    <row r="91" spans="1:11" x14ac:dyDescent="0.35">
      <c r="A91" s="5" t="str">
        <f t="shared" si="43"/>
        <v>STEM</v>
      </c>
      <c r="B91" s="5" t="str">
        <f t="shared" si="44"/>
        <v>SPS1</v>
      </c>
      <c r="C91" s="5" t="str">
        <f t="shared" si="45"/>
        <v>CH</v>
      </c>
      <c r="D91" t="s">
        <v>46</v>
      </c>
      <c r="E91" t="str">
        <f>E154</f>
        <v>PJ/yr.</v>
      </c>
      <c r="F91" s="1">
        <f>'[1]Electricity and CHPs'!B51</f>
        <v>2.7718813053719971E-2</v>
      </c>
      <c r="G91" s="1">
        <f>'[1]Electricity and CHPs'!C51</f>
        <v>8.2515088566882666E-2</v>
      </c>
      <c r="H91" s="1">
        <f>'[1]Electricity and CHPs'!D51</f>
        <v>8.3026834561493471E-2</v>
      </c>
      <c r="I91" s="1">
        <f>'[1]Electricity and CHPs'!E51</f>
        <v>0.33612259870013261</v>
      </c>
      <c r="J91" s="1">
        <f>'[1]Electricity and CHPs'!F51</f>
        <v>0.15531669172664975</v>
      </c>
      <c r="K91" s="1">
        <f>'[1]Electricity and CHPs'!G51</f>
        <v>0</v>
      </c>
    </row>
    <row r="92" spans="1:11" x14ac:dyDescent="0.35">
      <c r="A92" s="5" t="str">
        <f t="shared" si="43"/>
        <v>STEM</v>
      </c>
      <c r="B92" s="5" t="str">
        <f t="shared" si="44"/>
        <v>SPS1</v>
      </c>
      <c r="C92" s="5" t="str">
        <f t="shared" si="45"/>
        <v>CH</v>
      </c>
      <c r="D92" t="s">
        <v>47</v>
      </c>
      <c r="E92" t="str">
        <f>E91</f>
        <v>PJ/yr.</v>
      </c>
      <c r="F92" s="1">
        <f>'[1]Electricity and CHPs'!B52</f>
        <v>0</v>
      </c>
      <c r="G92" s="1">
        <f>'[1]Electricity and CHPs'!C52</f>
        <v>0</v>
      </c>
      <c r="H92" s="1">
        <f>'[1]Electricity and CHPs'!D52</f>
        <v>0</v>
      </c>
      <c r="I92" s="1">
        <f>'[1]Electricity and CHPs'!E52</f>
        <v>0</v>
      </c>
      <c r="J92" s="1">
        <f>'[1]Electricity and CHPs'!F52</f>
        <v>0</v>
      </c>
      <c r="K92" s="1">
        <f>'[1]Electricity and CHPs'!G52</f>
        <v>0</v>
      </c>
    </row>
    <row r="93" spans="1:11" x14ac:dyDescent="0.35">
      <c r="A93" s="5" t="str">
        <f t="shared" si="43"/>
        <v>STEM</v>
      </c>
      <c r="B93" s="5" t="str">
        <f t="shared" si="44"/>
        <v>SPS1</v>
      </c>
      <c r="C93" s="5" t="str">
        <f t="shared" si="45"/>
        <v>CH</v>
      </c>
      <c r="D93" t="s">
        <v>84</v>
      </c>
      <c r="E93" t="str">
        <f>E155</f>
        <v>PJ/yr.</v>
      </c>
      <c r="F93" s="1">
        <f>'[1]Electricity and CHPs'!B54</f>
        <v>0.95937493003076746</v>
      </c>
      <c r="G93" s="1">
        <f>'[1]Electricity and CHPs'!C54</f>
        <v>1.1059442191052704</v>
      </c>
      <c r="H93" s="1">
        <f>'[1]Electricity and CHPs'!D54</f>
        <v>1.10594113999872</v>
      </c>
      <c r="I93" s="1">
        <f>'[1]Electricity and CHPs'!E54</f>
        <v>1.1059413230136084</v>
      </c>
      <c r="J93" s="1">
        <f>'[1]Electricity and CHPs'!F54</f>
        <v>1.1059442707808418</v>
      </c>
      <c r="K93" s="1">
        <f>'[1]Electricity and CHPs'!G54</f>
        <v>1.1059415423416161</v>
      </c>
    </row>
    <row r="94" spans="1:11" x14ac:dyDescent="0.35">
      <c r="A94" s="5" t="str">
        <f t="shared" si="43"/>
        <v>STEM</v>
      </c>
      <c r="B94" s="5" t="str">
        <f t="shared" si="44"/>
        <v>SPS1</v>
      </c>
      <c r="C94" s="5" t="str">
        <f t="shared" si="45"/>
        <v>CH</v>
      </c>
      <c r="D94" t="s">
        <v>85</v>
      </c>
      <c r="E94" t="str">
        <f>E93</f>
        <v>PJ/yr.</v>
      </c>
      <c r="F94" s="1">
        <f>'[1]Electricity and CHPs'!B55</f>
        <v>0.59440862821173568</v>
      </c>
      <c r="G94" s="1">
        <f>'[1]Electricity and CHPs'!C55</f>
        <v>0.62587476391855923</v>
      </c>
      <c r="H94" s="1">
        <f>'[1]Electricity and CHPs'!D55</f>
        <v>0.16630627488457203</v>
      </c>
      <c r="I94" s="1">
        <f>'[1]Electricity and CHPs'!E55</f>
        <v>0.16665611258900348</v>
      </c>
      <c r="J94" s="1">
        <f>'[1]Electricity and CHPs'!F55</f>
        <v>0.12139218058749249</v>
      </c>
      <c r="K94" s="1">
        <f>'[1]Electricity and CHPs'!G55</f>
        <v>0</v>
      </c>
    </row>
    <row r="95" spans="1:11" x14ac:dyDescent="0.35">
      <c r="A95" s="5" t="str">
        <f t="shared" si="43"/>
        <v>STEM</v>
      </c>
      <c r="B95" s="5" t="str">
        <f t="shared" si="44"/>
        <v>SPS1</v>
      </c>
      <c r="C95" s="5" t="str">
        <f t="shared" si="45"/>
        <v>CH</v>
      </c>
      <c r="D95" t="s">
        <v>88</v>
      </c>
      <c r="E95" t="str">
        <f>E170</f>
        <v>PJ/yr.</v>
      </c>
      <c r="F95" s="1">
        <f>'[1]Electricity and CHPs'!B58</f>
        <v>0</v>
      </c>
      <c r="G95" s="1">
        <f>'[1]Electricity and CHPs'!C58</f>
        <v>0</v>
      </c>
      <c r="H95" s="1">
        <f>'[1]Electricity and CHPs'!D58</f>
        <v>0</v>
      </c>
      <c r="I95" s="1">
        <f>'[1]Electricity and CHPs'!E58</f>
        <v>0</v>
      </c>
      <c r="J95" s="1">
        <f>'[1]Electricity and CHPs'!F58</f>
        <v>0</v>
      </c>
      <c r="K95" s="1">
        <f>'[1]Electricity and CHPs'!G58</f>
        <v>0</v>
      </c>
    </row>
    <row r="96" spans="1:11" x14ac:dyDescent="0.35">
      <c r="A96" s="5" t="str">
        <f t="shared" ref="A96:A111" si="61">A95</f>
        <v>STEM</v>
      </c>
      <c r="B96" s="5" t="str">
        <f t="shared" ref="B96:B111" si="62">B95</f>
        <v>SPS1</v>
      </c>
      <c r="C96" s="5" t="str">
        <f t="shared" ref="C96:C111" si="63">C95</f>
        <v>CH</v>
      </c>
      <c r="D96" t="s">
        <v>798</v>
      </c>
      <c r="E96" t="str">
        <f t="shared" ref="E96:E106" si="64">E171</f>
        <v>PJ/yr.</v>
      </c>
      <c r="F96" s="1">
        <f>F80-F112</f>
        <v>2.2142534893735855</v>
      </c>
      <c r="G96" s="1">
        <f t="shared" ref="G96:K96" si="65">G80-G112</f>
        <v>0.7829077955573307</v>
      </c>
      <c r="H96" s="1">
        <f t="shared" si="65"/>
        <v>0.29124540620390893</v>
      </c>
      <c r="I96" s="1">
        <f t="shared" si="65"/>
        <v>0.60667882654252758</v>
      </c>
      <c r="J96" s="1">
        <f t="shared" si="65"/>
        <v>0.83819409958776148</v>
      </c>
      <c r="K96" s="1">
        <f t="shared" si="65"/>
        <v>0.28847176499749461</v>
      </c>
    </row>
    <row r="97" spans="1:11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552</v>
      </c>
      <c r="E97" t="str">
        <f t="shared" si="64"/>
        <v>PJ/yr.</v>
      </c>
      <c r="F97" s="1">
        <f t="shared" ref="F97:K97" si="66">F81-F113</f>
        <v>0</v>
      </c>
      <c r="G97" s="1">
        <f t="shared" si="66"/>
        <v>0</v>
      </c>
      <c r="H97" s="1">
        <f t="shared" si="66"/>
        <v>0</v>
      </c>
      <c r="I97" s="1">
        <f t="shared" si="66"/>
        <v>0</v>
      </c>
      <c r="J97" s="1">
        <f t="shared" si="66"/>
        <v>8.3688883518361641E-6</v>
      </c>
      <c r="K97" s="1">
        <f t="shared" si="66"/>
        <v>4.2365400500739914E-3</v>
      </c>
    </row>
    <row r="98" spans="1:11" x14ac:dyDescent="0.35">
      <c r="A98" s="5" t="str">
        <f t="shared" si="61"/>
        <v>STEM</v>
      </c>
      <c r="B98" s="5" t="str">
        <f t="shared" si="62"/>
        <v>SPS1</v>
      </c>
      <c r="C98" s="5" t="str">
        <f t="shared" si="63"/>
        <v>CH</v>
      </c>
      <c r="D98" t="s">
        <v>553</v>
      </c>
      <c r="E98" t="str">
        <f t="shared" si="64"/>
        <v>PJ/yr.</v>
      </c>
      <c r="F98" s="1">
        <f t="shared" ref="F98:K98" si="67">F82-F114</f>
        <v>0</v>
      </c>
      <c r="G98" s="1">
        <f t="shared" si="67"/>
        <v>0</v>
      </c>
      <c r="H98" s="1">
        <f t="shared" si="67"/>
        <v>0</v>
      </c>
      <c r="I98" s="1">
        <f t="shared" si="67"/>
        <v>0</v>
      </c>
      <c r="J98" s="1">
        <f t="shared" si="67"/>
        <v>2.8944457098803543E-6</v>
      </c>
      <c r="K98" s="1">
        <f t="shared" si="67"/>
        <v>9.6529908416796897E-3</v>
      </c>
    </row>
    <row r="99" spans="1:11" x14ac:dyDescent="0.35">
      <c r="A99" s="5" t="str">
        <f t="shared" si="61"/>
        <v>STEM</v>
      </c>
      <c r="B99" s="5" t="str">
        <f t="shared" si="62"/>
        <v>SPS1</v>
      </c>
      <c r="C99" s="5" t="str">
        <f t="shared" si="63"/>
        <v>CH</v>
      </c>
      <c r="D99" t="s">
        <v>554</v>
      </c>
      <c r="E99" t="str">
        <f t="shared" si="64"/>
        <v>PJ/yr.</v>
      </c>
      <c r="F99" s="1">
        <f t="shared" ref="F99:K99" si="68">F83-F115</f>
        <v>0</v>
      </c>
      <c r="G99" s="1">
        <f t="shared" si="68"/>
        <v>0</v>
      </c>
      <c r="H99" s="1">
        <f t="shared" si="68"/>
        <v>0</v>
      </c>
      <c r="I99" s="1">
        <f t="shared" si="68"/>
        <v>0</v>
      </c>
      <c r="J99" s="1">
        <f t="shared" si="68"/>
        <v>0</v>
      </c>
      <c r="K99" s="1">
        <f t="shared" si="68"/>
        <v>0</v>
      </c>
    </row>
    <row r="100" spans="1:11" x14ac:dyDescent="0.35">
      <c r="A100" s="5" t="str">
        <f t="shared" si="61"/>
        <v>STEM</v>
      </c>
      <c r="B100" s="5" t="str">
        <f t="shared" si="62"/>
        <v>SPS1</v>
      </c>
      <c r="C100" s="5" t="str">
        <f t="shared" si="63"/>
        <v>CH</v>
      </c>
      <c r="D100" t="s">
        <v>555</v>
      </c>
      <c r="E100" t="str">
        <f t="shared" si="64"/>
        <v>PJ/yr.</v>
      </c>
      <c r="F100" s="1">
        <f t="shared" ref="F100:K100" si="69">F84-F116</f>
        <v>0.94152416858062882</v>
      </c>
      <c r="G100" s="1">
        <f t="shared" si="69"/>
        <v>1.1103578471542157E-4</v>
      </c>
      <c r="H100" s="1">
        <f t="shared" si="69"/>
        <v>4.6342521564170816E-4</v>
      </c>
      <c r="I100" s="1">
        <f t="shared" si="69"/>
        <v>0</v>
      </c>
      <c r="J100" s="1">
        <f t="shared" si="69"/>
        <v>0</v>
      </c>
      <c r="K100" s="1">
        <f t="shared" si="69"/>
        <v>0</v>
      </c>
    </row>
    <row r="101" spans="1:11" x14ac:dyDescent="0.35">
      <c r="A101" s="5" t="str">
        <f t="shared" si="61"/>
        <v>STEM</v>
      </c>
      <c r="B101" s="5" t="str">
        <f t="shared" si="62"/>
        <v>SPS1</v>
      </c>
      <c r="C101" s="5" t="str">
        <f t="shared" si="63"/>
        <v>CH</v>
      </c>
      <c r="D101" t="s">
        <v>556</v>
      </c>
      <c r="E101" t="str">
        <f t="shared" si="64"/>
        <v>PJ/yr.</v>
      </c>
      <c r="F101" s="1">
        <f t="shared" ref="F101:K101" si="70">F85-F117</f>
        <v>0</v>
      </c>
      <c r="G101" s="1">
        <f t="shared" si="70"/>
        <v>0</v>
      </c>
      <c r="H101" s="1">
        <f t="shared" si="70"/>
        <v>0</v>
      </c>
      <c r="I101" s="1">
        <f t="shared" si="70"/>
        <v>0</v>
      </c>
      <c r="J101" s="1">
        <f t="shared" si="70"/>
        <v>0</v>
      </c>
      <c r="K101" s="1">
        <f t="shared" si="70"/>
        <v>0</v>
      </c>
    </row>
    <row r="102" spans="1:11" x14ac:dyDescent="0.35">
      <c r="A102" s="5" t="str">
        <f t="shared" si="61"/>
        <v>STEM</v>
      </c>
      <c r="B102" s="5" t="str">
        <f t="shared" si="62"/>
        <v>SPS1</v>
      </c>
      <c r="C102" s="5" t="str">
        <f t="shared" si="63"/>
        <v>CH</v>
      </c>
      <c r="D102" t="s">
        <v>557</v>
      </c>
      <c r="E102" t="str">
        <f t="shared" si="64"/>
        <v>PJ/yr.</v>
      </c>
      <c r="F102" s="1">
        <f t="shared" ref="F102:K102" si="71">F86-F118</f>
        <v>0.65308414745176735</v>
      </c>
      <c r="G102" s="1">
        <f t="shared" si="71"/>
        <v>8.7754234082229043E-2</v>
      </c>
      <c r="H102" s="1">
        <f t="shared" si="71"/>
        <v>4.9194694612828792E-2</v>
      </c>
      <c r="I102" s="1">
        <f t="shared" si="71"/>
        <v>0.10481124146621927</v>
      </c>
      <c r="J102" s="1">
        <f t="shared" si="71"/>
        <v>0.58781825163745516</v>
      </c>
      <c r="K102" s="1">
        <f t="shared" si="71"/>
        <v>0.17371378898812495</v>
      </c>
    </row>
    <row r="103" spans="1:11" x14ac:dyDescent="0.35">
      <c r="A103" s="5" t="str">
        <f t="shared" si="61"/>
        <v>STEM</v>
      </c>
      <c r="B103" s="5" t="str">
        <f t="shared" si="62"/>
        <v>SPS1</v>
      </c>
      <c r="C103" s="5" t="str">
        <f t="shared" si="63"/>
        <v>CH</v>
      </c>
      <c r="D103" t="s">
        <v>558</v>
      </c>
      <c r="E103" t="str">
        <f t="shared" si="64"/>
        <v>PJ/yr.</v>
      </c>
      <c r="F103" s="1">
        <f t="shared" ref="F103:K103" si="72">F87-F119</f>
        <v>0</v>
      </c>
      <c r="G103" s="1">
        <f t="shared" si="72"/>
        <v>0</v>
      </c>
      <c r="H103" s="1">
        <f t="shared" si="72"/>
        <v>0</v>
      </c>
      <c r="I103" s="1">
        <f t="shared" si="72"/>
        <v>0</v>
      </c>
      <c r="J103" s="1">
        <f t="shared" si="72"/>
        <v>1.5933549819938341E-3</v>
      </c>
      <c r="K103" s="1">
        <f t="shared" si="72"/>
        <v>0.10044947040964092</v>
      </c>
    </row>
    <row r="104" spans="1:11" x14ac:dyDescent="0.35">
      <c r="A104" s="5" t="str">
        <f t="shared" si="61"/>
        <v>STEM</v>
      </c>
      <c r="B104" s="5" t="str">
        <f t="shared" si="62"/>
        <v>SPS1</v>
      </c>
      <c r="C104" s="5" t="str">
        <f t="shared" si="63"/>
        <v>CH</v>
      </c>
      <c r="D104" t="s">
        <v>559</v>
      </c>
      <c r="E104" t="str">
        <f t="shared" si="64"/>
        <v>PJ/yr.</v>
      </c>
      <c r="F104" s="1">
        <f t="shared" ref="F104:K104" si="73">F88-F120</f>
        <v>0</v>
      </c>
      <c r="G104" s="1">
        <f t="shared" si="73"/>
        <v>0</v>
      </c>
      <c r="H104" s="1">
        <f t="shared" si="73"/>
        <v>0</v>
      </c>
      <c r="I104" s="1">
        <f t="shared" si="73"/>
        <v>2.2537451825503283E-4</v>
      </c>
      <c r="J104" s="1">
        <f t="shared" si="73"/>
        <v>2.4062438111622331E-3</v>
      </c>
      <c r="K104" s="1">
        <f t="shared" si="73"/>
        <v>4.1897470797508862E-4</v>
      </c>
    </row>
    <row r="105" spans="1:11" x14ac:dyDescent="0.35">
      <c r="A105" s="5" t="str">
        <f t="shared" si="61"/>
        <v>STEM</v>
      </c>
      <c r="B105" s="5" t="str">
        <f t="shared" si="62"/>
        <v>SPS1</v>
      </c>
      <c r="C105" s="5" t="str">
        <f t="shared" si="63"/>
        <v>CH</v>
      </c>
      <c r="D105" t="s">
        <v>560</v>
      </c>
      <c r="E105" t="str">
        <f t="shared" si="64"/>
        <v>PJ/yr.</v>
      </c>
      <c r="F105" s="1">
        <f t="shared" ref="F105:K105" si="74">F89-F121</f>
        <v>1.3207303918877724E-2</v>
      </c>
      <c r="G105" s="1">
        <f t="shared" si="74"/>
        <v>2.2408645116062443E-3</v>
      </c>
      <c r="H105" s="1">
        <f t="shared" si="74"/>
        <v>3.4737717778775654E-3</v>
      </c>
      <c r="I105" s="1">
        <f t="shared" si="74"/>
        <v>7.4739167474829633E-3</v>
      </c>
      <c r="J105" s="1">
        <f t="shared" si="74"/>
        <v>1.9407992272141923E-3</v>
      </c>
      <c r="K105" s="1">
        <f t="shared" si="74"/>
        <v>0</v>
      </c>
    </row>
    <row r="106" spans="1:11" x14ac:dyDescent="0.35">
      <c r="A106" s="5" t="str">
        <f t="shared" si="61"/>
        <v>STEM</v>
      </c>
      <c r="B106" s="5" t="str">
        <f t="shared" si="62"/>
        <v>SPS1</v>
      </c>
      <c r="C106" s="5" t="str">
        <f t="shared" si="63"/>
        <v>CH</v>
      </c>
      <c r="D106" t="s">
        <v>561</v>
      </c>
      <c r="E106" t="str">
        <f t="shared" si="64"/>
        <v>PJ/yr.</v>
      </c>
      <c r="F106" s="1">
        <f t="shared" ref="F106:K106" si="75">F90-F122</f>
        <v>0</v>
      </c>
      <c r="G106" s="1">
        <f t="shared" si="75"/>
        <v>0</v>
      </c>
      <c r="H106" s="1">
        <f t="shared" si="75"/>
        <v>0</v>
      </c>
      <c r="I106" s="1">
        <f t="shared" si="75"/>
        <v>0</v>
      </c>
      <c r="J106" s="1">
        <f t="shared" si="75"/>
        <v>0</v>
      </c>
      <c r="K106" s="1">
        <f t="shared" si="75"/>
        <v>0</v>
      </c>
    </row>
    <row r="107" spans="1:11" x14ac:dyDescent="0.35">
      <c r="A107" s="5" t="str">
        <f t="shared" si="61"/>
        <v>STEM</v>
      </c>
      <c r="B107" s="5" t="str">
        <f t="shared" si="62"/>
        <v>SPS1</v>
      </c>
      <c r="C107" s="5" t="str">
        <f t="shared" si="63"/>
        <v>CH</v>
      </c>
      <c r="D107" t="s">
        <v>562</v>
      </c>
      <c r="E107" t="str">
        <f>E183</f>
        <v>PJ/yr.</v>
      </c>
      <c r="F107" s="1">
        <f t="shared" ref="F107:K107" si="76">F91-F123</f>
        <v>2.701976607400727E-2</v>
      </c>
      <c r="G107" s="1">
        <f t="shared" si="76"/>
        <v>8.0699335586015178E-2</v>
      </c>
      <c r="H107" s="1">
        <f t="shared" si="76"/>
        <v>7.9290758564994929E-2</v>
      </c>
      <c r="I107" s="1">
        <f t="shared" si="76"/>
        <v>0.33036627721355261</v>
      </c>
      <c r="J107" s="1">
        <f t="shared" si="76"/>
        <v>0.13719529743502296</v>
      </c>
      <c r="K107" s="1">
        <f t="shared" si="76"/>
        <v>0</v>
      </c>
    </row>
    <row r="108" spans="1:11" x14ac:dyDescent="0.35">
      <c r="A108" s="5" t="str">
        <f t="shared" si="61"/>
        <v>STEM</v>
      </c>
      <c r="B108" s="5" t="str">
        <f t="shared" si="62"/>
        <v>SPS1</v>
      </c>
      <c r="C108" s="5" t="str">
        <f t="shared" si="63"/>
        <v>CH</v>
      </c>
      <c r="D108" t="s">
        <v>563</v>
      </c>
      <c r="E108" t="str">
        <f>E185</f>
        <v>PJ/yr.</v>
      </c>
      <c r="F108" s="1">
        <f t="shared" ref="F108:K108" si="77">F92-F124</f>
        <v>0</v>
      </c>
      <c r="G108" s="1">
        <f t="shared" si="77"/>
        <v>0</v>
      </c>
      <c r="H108" s="1">
        <f t="shared" si="77"/>
        <v>0</v>
      </c>
      <c r="I108" s="1">
        <f t="shared" si="77"/>
        <v>0</v>
      </c>
      <c r="J108" s="1">
        <f t="shared" si="77"/>
        <v>0</v>
      </c>
      <c r="K108" s="1">
        <f t="shared" si="77"/>
        <v>0</v>
      </c>
    </row>
    <row r="109" spans="1:11" x14ac:dyDescent="0.35">
      <c r="A109" s="5" t="str">
        <f t="shared" si="61"/>
        <v>STEM</v>
      </c>
      <c r="B109" s="5" t="str">
        <f t="shared" si="62"/>
        <v>SPS1</v>
      </c>
      <c r="C109" s="5" t="str">
        <f t="shared" si="63"/>
        <v>CH</v>
      </c>
      <c r="D109" t="s">
        <v>564</v>
      </c>
      <c r="E109" t="str">
        <f>E187</f>
        <v>PJ/yr.</v>
      </c>
      <c r="F109" s="1">
        <f t="shared" ref="F109:K109" si="78">F93-F125</f>
        <v>0</v>
      </c>
      <c r="G109" s="1">
        <f t="shared" si="78"/>
        <v>0</v>
      </c>
      <c r="H109" s="1">
        <f t="shared" si="78"/>
        <v>0</v>
      </c>
      <c r="I109" s="1">
        <f t="shared" si="78"/>
        <v>0</v>
      </c>
      <c r="J109" s="1">
        <f t="shared" si="78"/>
        <v>0</v>
      </c>
      <c r="K109" s="1">
        <f t="shared" si="78"/>
        <v>0</v>
      </c>
    </row>
    <row r="110" spans="1:11" x14ac:dyDescent="0.35">
      <c r="A110" s="5" t="str">
        <f t="shared" si="61"/>
        <v>STEM</v>
      </c>
      <c r="B110" s="5" t="str">
        <f t="shared" si="62"/>
        <v>SPS1</v>
      </c>
      <c r="C110" s="5" t="str">
        <f t="shared" si="63"/>
        <v>CH</v>
      </c>
      <c r="D110" t="s">
        <v>565</v>
      </c>
      <c r="E110" t="str">
        <f>E188</f>
        <v>PJ/yr.</v>
      </c>
      <c r="F110" s="1">
        <f t="shared" ref="F110:K110" si="79">F94-F126</f>
        <v>0.57941810334830468</v>
      </c>
      <c r="G110" s="1">
        <f t="shared" si="79"/>
        <v>0.61210232559276478</v>
      </c>
      <c r="H110" s="1">
        <f t="shared" si="79"/>
        <v>0.15882275603256582</v>
      </c>
      <c r="I110" s="1">
        <f t="shared" si="79"/>
        <v>0.16380201659701746</v>
      </c>
      <c r="J110" s="1">
        <f t="shared" si="79"/>
        <v>0.1072288891608514</v>
      </c>
      <c r="K110" s="1">
        <f t="shared" si="79"/>
        <v>0</v>
      </c>
    </row>
    <row r="111" spans="1:11" x14ac:dyDescent="0.35">
      <c r="A111" s="5" t="str">
        <f t="shared" si="61"/>
        <v>STEM</v>
      </c>
      <c r="B111" s="5" t="str">
        <f t="shared" si="62"/>
        <v>SPS1</v>
      </c>
      <c r="C111" s="5" t="str">
        <f t="shared" si="63"/>
        <v>CH</v>
      </c>
      <c r="D111" t="s">
        <v>566</v>
      </c>
      <c r="E111" t="str">
        <f>E193</f>
        <v>PJ/yr.</v>
      </c>
      <c r="F111" s="1">
        <f t="shared" ref="F111:K111" si="80">F95-F127</f>
        <v>0</v>
      </c>
      <c r="G111" s="1">
        <f t="shared" si="80"/>
        <v>0</v>
      </c>
      <c r="H111" s="1">
        <f t="shared" si="80"/>
        <v>0</v>
      </c>
      <c r="I111" s="1">
        <f t="shared" si="80"/>
        <v>0</v>
      </c>
      <c r="J111" s="1">
        <f t="shared" si="80"/>
        <v>0</v>
      </c>
      <c r="K111" s="1">
        <f t="shared" si="80"/>
        <v>0</v>
      </c>
    </row>
    <row r="112" spans="1:11" x14ac:dyDescent="0.35">
      <c r="A112" s="5" t="str">
        <f>A95</f>
        <v>STEM</v>
      </c>
      <c r="B112" s="5" t="str">
        <f>B95</f>
        <v>SPS1</v>
      </c>
      <c r="C112" s="5" t="str">
        <f>C95</f>
        <v>CH</v>
      </c>
      <c r="D112" t="s">
        <v>799</v>
      </c>
      <c r="E112" t="str">
        <f>E95</f>
        <v>PJ/yr.</v>
      </c>
      <c r="F112" s="1">
        <f>SUM(F113:F127)</f>
        <v>1.0166614072647044</v>
      </c>
      <c r="G112" s="1">
        <f t="shared" ref="G112:K112" si="81">SUM(G113:G127)</f>
        <v>1.1235598184556814</v>
      </c>
      <c r="H112" s="1">
        <f t="shared" si="81"/>
        <v>1.1196642395238299</v>
      </c>
      <c r="I112" s="1">
        <f t="shared" si="81"/>
        <v>1.1165121306460788</v>
      </c>
      <c r="J112" s="1">
        <f t="shared" si="81"/>
        <v>1.2166568539051921</v>
      </c>
      <c r="K112" s="1">
        <f t="shared" si="81"/>
        <v>1.5213573699198411</v>
      </c>
    </row>
    <row r="113" spans="1:11" x14ac:dyDescent="0.35">
      <c r="A113" s="5" t="str">
        <f t="shared" si="43"/>
        <v>STEM</v>
      </c>
      <c r="B113" s="5" t="str">
        <f t="shared" si="44"/>
        <v>SPS1</v>
      </c>
      <c r="C113" s="5" t="str">
        <f t="shared" si="45"/>
        <v>CH</v>
      </c>
      <c r="D113" t="s">
        <v>613</v>
      </c>
      <c r="E113" t="str">
        <f t="shared" ref="E113:E128" si="82">E112</f>
        <v>PJ/yr.</v>
      </c>
      <c r="F113" s="1">
        <f>'[1]Electricity and CHPs_IN'!L$23/SUM('[1]Electricity and CHPs_IN'!L$22:L$23)*F81</f>
        <v>0</v>
      </c>
      <c r="G113" s="1">
        <f>'[1]Electricity and CHPs_IN'!M$23/SUM('[1]Electricity and CHPs_IN'!M$22:M$23)*G81</f>
        <v>0</v>
      </c>
      <c r="H113" s="1">
        <f>'[1]Electricity and CHPs_IN'!N$23/SUM('[1]Electricity and CHPs_IN'!N$22:N$23)*H81</f>
        <v>0</v>
      </c>
      <c r="I113" s="1">
        <f>'[1]Electricity and CHPs_IN'!O$23/SUM('[1]Electricity and CHPs_IN'!O$22:O$23)*I81</f>
        <v>0</v>
      </c>
      <c r="J113" s="1">
        <f>'[1]Electricity and CHPs_IN'!P$23/SUM('[1]Electricity and CHPs_IN'!P$22:P$23)*J81</f>
        <v>1.1054017771859248E-6</v>
      </c>
      <c r="K113" s="1">
        <f>'[1]Electricity and CHPs_IN'!Q$23/SUM('[1]Electricity and CHPs_IN'!Q$22:Q$23)*K81</f>
        <v>6.1008597877337022E-3</v>
      </c>
    </row>
    <row r="114" spans="1:11" x14ac:dyDescent="0.35">
      <c r="A114" s="5" t="str">
        <f t="shared" si="43"/>
        <v>STEM</v>
      </c>
      <c r="B114" s="5" t="str">
        <f t="shared" si="44"/>
        <v>SPS1</v>
      </c>
      <c r="C114" s="5" t="str">
        <f t="shared" si="45"/>
        <v>CH</v>
      </c>
      <c r="D114" t="s">
        <v>614</v>
      </c>
      <c r="E114" t="str">
        <f t="shared" si="82"/>
        <v>PJ/yr.</v>
      </c>
      <c r="F114" s="1">
        <f>'[1]Electricity and CHPs_IN'!L$23/SUM('[1]Electricity and CHPs_IN'!L$22:L$23)*F82</f>
        <v>0</v>
      </c>
      <c r="G114" s="1">
        <f>'[1]Electricity and CHPs_IN'!M$23/SUM('[1]Electricity and CHPs_IN'!M$22:M$23)*G82</f>
        <v>0</v>
      </c>
      <c r="H114" s="1">
        <f>'[1]Electricity and CHPs_IN'!N$23/SUM('[1]Electricity and CHPs_IN'!N$22:N$23)*H82</f>
        <v>0</v>
      </c>
      <c r="I114" s="1">
        <f>'[1]Electricity and CHPs_IN'!O$23/SUM('[1]Electricity and CHPs_IN'!O$22:O$23)*I82</f>
        <v>0</v>
      </c>
      <c r="J114" s="1">
        <f>'[1]Electricity and CHPs_IN'!P$23/SUM('[1]Electricity and CHPs_IN'!P$22:P$23)*J82</f>
        <v>3.8231187908821025E-7</v>
      </c>
      <c r="K114" s="1">
        <f>'[1]Electricity and CHPs_IN'!Q$23/SUM('[1]Electricity and CHPs_IN'!Q$22:Q$23)*K82</f>
        <v>1.3900858474437597E-2</v>
      </c>
    </row>
    <row r="115" spans="1:11" x14ac:dyDescent="0.35">
      <c r="A115" s="5" t="str">
        <f t="shared" si="43"/>
        <v>STEM</v>
      </c>
      <c r="B115" s="5" t="str">
        <f t="shared" si="44"/>
        <v>SPS1</v>
      </c>
      <c r="C115" s="5" t="str">
        <f t="shared" si="45"/>
        <v>CH</v>
      </c>
      <c r="D115" t="s">
        <v>615</v>
      </c>
      <c r="E115" t="str">
        <f t="shared" si="82"/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'[1]Electricity and CHPs_IN'!P$23/SUM('[1]Electricity and CHPs_IN'!P$22:P$23)*J83</f>
        <v>0</v>
      </c>
      <c r="K115" s="1">
        <f>'[1]Electricity and CHPs_IN'!Q$23/SUM('[1]Electricity and CHPs_IN'!Q$22:Q$23)*K83</f>
        <v>0</v>
      </c>
    </row>
    <row r="116" spans="1:11" x14ac:dyDescent="0.35">
      <c r="A116" s="5" t="str">
        <f t="shared" si="43"/>
        <v>STEM</v>
      </c>
      <c r="B116" s="5" t="str">
        <f t="shared" si="44"/>
        <v>SPS1</v>
      </c>
      <c r="C116" s="5" t="str">
        <f t="shared" si="45"/>
        <v>CH</v>
      </c>
      <c r="D116" t="s">
        <v>616</v>
      </c>
      <c r="E116" t="str">
        <f t="shared" si="82"/>
        <v>PJ/yr.</v>
      </c>
      <c r="F116" s="1">
        <f>'[1]Electricity and CHPs_IN'!L$23/SUM('[1]Electricity and CHPs_IN'!L$22:L$23)*F84</f>
        <v>2.4358820301037094E-2</v>
      </c>
      <c r="G116" s="1">
        <f>'[1]Electricity and CHPs_IN'!M$23/SUM('[1]Electricity and CHPs_IN'!M$22:M$23)*G84</f>
        <v>2.4983298265831757E-6</v>
      </c>
      <c r="H116" s="1">
        <f>'[1]Electricity and CHPs_IN'!N$23/SUM('[1]Electricity and CHPs_IN'!N$22:N$23)*H84</f>
        <v>2.1835985121922073E-5</v>
      </c>
      <c r="I116" s="1">
        <f>'[1]Electricity and CHPs_IN'!O$23/SUM('[1]Electricity and CHPs_IN'!O$22:O$23)*I84</f>
        <v>0</v>
      </c>
      <c r="J116" s="1">
        <f>'[1]Electricity and CHPs_IN'!P$23/SUM('[1]Electricity and CHPs_IN'!P$22:P$23)*J84</f>
        <v>0</v>
      </c>
      <c r="K116" s="1">
        <f>'[1]Electricity and CHPs_IN'!Q$23/SUM('[1]Electricity and CHPs_IN'!Q$22:Q$23)*K84</f>
        <v>0</v>
      </c>
    </row>
    <row r="117" spans="1:11" x14ac:dyDescent="0.35">
      <c r="A117" s="5" t="str">
        <f t="shared" si="43"/>
        <v>STEM</v>
      </c>
      <c r="B117" s="5" t="str">
        <f t="shared" si="44"/>
        <v>SPS1</v>
      </c>
      <c r="C117" s="5" t="str">
        <f t="shared" si="45"/>
        <v>CH</v>
      </c>
      <c r="D117" t="s">
        <v>617</v>
      </c>
      <c r="E117" t="str">
        <f t="shared" si="8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'[1]Electricity and CHPs_IN'!P$23/SUM('[1]Electricity and CHPs_IN'!P$22:P$23)*J85</f>
        <v>0</v>
      </c>
      <c r="K117" s="1">
        <f>'[1]Electricity and CHPs_IN'!Q$23/SUM('[1]Electricity and CHPs_IN'!Q$22:Q$23)*K85</f>
        <v>0</v>
      </c>
    </row>
    <row r="118" spans="1:11" x14ac:dyDescent="0.35">
      <c r="A118" s="5" t="str">
        <f t="shared" si="43"/>
        <v>STEM</v>
      </c>
      <c r="B118" s="5" t="str">
        <f t="shared" si="44"/>
        <v>SPS1</v>
      </c>
      <c r="C118" s="5" t="str">
        <f t="shared" si="45"/>
        <v>CH</v>
      </c>
      <c r="D118" t="s">
        <v>618</v>
      </c>
      <c r="E118" t="str">
        <f t="shared" si="82"/>
        <v>PJ/yr.</v>
      </c>
      <c r="F118" s="1">
        <f>'[1]Electricity and CHPs_IN'!L$23/SUM('[1]Electricity and CHPs_IN'!L$22:L$23)*F86</f>
        <v>1.689638983268572E-2</v>
      </c>
      <c r="G118" s="1">
        <f>'[1]Electricity and CHPs_IN'!M$23/SUM('[1]Electricity and CHPs_IN'!M$22:M$23)*G86</f>
        <v>1.9744897645249402E-3</v>
      </c>
      <c r="H118" s="1">
        <f>'[1]Electricity and CHPs_IN'!N$23/SUM('[1]Electricity and CHPs_IN'!N$22:N$23)*H86</f>
        <v>2.3179891455749916E-3</v>
      </c>
      <c r="I118" s="1">
        <f>'[1]Electricity and CHPs_IN'!O$23/SUM('[1]Electricity and CHPs_IN'!O$22:O$23)*I86</f>
        <v>1.8262372490795216E-3</v>
      </c>
      <c r="J118" s="1">
        <f>'[1]Electricity and CHPs_IN'!P$23/SUM('[1]Electricity and CHPs_IN'!P$22:P$23)*J86</f>
        <v>7.7641774236336045E-2</v>
      </c>
      <c r="K118" s="1">
        <f>'[1]Electricity and CHPs_IN'!Q$23/SUM('[1]Electricity and CHPs_IN'!Q$22:Q$23)*K86</f>
        <v>0.25015778377782588</v>
      </c>
    </row>
    <row r="119" spans="1:11" x14ac:dyDescent="0.35">
      <c r="A119" s="5" t="str">
        <f t="shared" si="43"/>
        <v>STEM</v>
      </c>
      <c r="B119" s="5" t="str">
        <f t="shared" si="44"/>
        <v>SPS1</v>
      </c>
      <c r="C119" s="5" t="str">
        <f t="shared" si="45"/>
        <v>CH</v>
      </c>
      <c r="D119" t="s">
        <v>619</v>
      </c>
      <c r="E119" t="str">
        <f t="shared" si="8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'[1]Electricity and CHPs_IN'!P$23/SUM('[1]Electricity and CHPs_IN'!P$22:P$23)*J87</f>
        <v>2.1045775194235877E-4</v>
      </c>
      <c r="K119" s="1">
        <f>'[1]Electricity and CHPs_IN'!Q$23/SUM('[1]Electricity and CHPs_IN'!Q$22:Q$23)*K87</f>
        <v>0.14465297801459981</v>
      </c>
    </row>
    <row r="120" spans="1:11" x14ac:dyDescent="0.35">
      <c r="A120" s="5" t="str">
        <f t="shared" si="43"/>
        <v>STEM</v>
      </c>
      <c r="B120" s="5" t="str">
        <f t="shared" si="44"/>
        <v>SPS1</v>
      </c>
      <c r="C120" s="5" t="str">
        <f t="shared" si="45"/>
        <v>CH</v>
      </c>
      <c r="D120" t="s">
        <v>620</v>
      </c>
      <c r="E120" t="str">
        <f t="shared" si="82"/>
        <v>PJ/yr.</v>
      </c>
      <c r="F120" s="1">
        <f>'[1]Electricity and CHPs_IN'!L$23/SUM('[1]Electricity and CHPs_IN'!L$22:L$23)*F88</f>
        <v>0</v>
      </c>
      <c r="G120" s="1">
        <f>'[1]Electricity and CHPs_IN'!M$23/SUM('[1]Electricity and CHPs_IN'!M$22:M$23)*G88</f>
        <v>0</v>
      </c>
      <c r="H120" s="1">
        <f>'[1]Electricity and CHPs_IN'!N$23/SUM('[1]Electricity and CHPs_IN'!N$22:N$23)*H88</f>
        <v>0</v>
      </c>
      <c r="I120" s="1">
        <f>'[1]Electricity and CHPs_IN'!O$23/SUM('[1]Electricity and CHPs_IN'!O$22:O$23)*I88</f>
        <v>3.9269388900745777E-6</v>
      </c>
      <c r="J120" s="1">
        <f>'[1]Electricity and CHPs_IN'!P$23/SUM('[1]Electricity and CHPs_IN'!P$22:P$23)*J88</f>
        <v>3.1782789701308189E-4</v>
      </c>
      <c r="K120" s="1">
        <f>'[1]Electricity and CHPs_IN'!Q$23/SUM('[1]Electricity and CHPs_IN'!Q$22:Q$23)*K88</f>
        <v>6.0334752362792982E-4</v>
      </c>
    </row>
    <row r="121" spans="1:11" x14ac:dyDescent="0.35">
      <c r="A121" s="5" t="str">
        <f t="shared" si="43"/>
        <v>STEM</v>
      </c>
      <c r="B121" s="5" t="str">
        <f t="shared" si="44"/>
        <v>SPS1</v>
      </c>
      <c r="C121" s="5" t="str">
        <f t="shared" si="45"/>
        <v>CH</v>
      </c>
      <c r="D121" t="s">
        <v>621</v>
      </c>
      <c r="E121" t="str">
        <f t="shared" si="82"/>
        <v>PJ/yr.</v>
      </c>
      <c r="F121" s="1">
        <f>'[1]Electricity and CHPs_IN'!L$23/SUM('[1]Electricity and CHPs_IN'!L$22:L$23)*F89</f>
        <v>3.4169525707037122E-4</v>
      </c>
      <c r="G121" s="1">
        <f>'[1]Electricity and CHPs_IN'!M$23/SUM('[1]Electricity and CHPs_IN'!M$22:M$23)*G89</f>
        <v>5.041994939762934E-5</v>
      </c>
      <c r="H121" s="1">
        <f>'[1]Electricity and CHPs_IN'!N$23/SUM('[1]Electricity and CHPs_IN'!N$22:N$23)*H89</f>
        <v>1.6367954590829246E-4</v>
      </c>
      <c r="I121" s="1">
        <f>'[1]Electricity and CHPs_IN'!O$23/SUM('[1]Electricity and CHPs_IN'!O$22:O$23)*I89</f>
        <v>1.3022596593488287E-4</v>
      </c>
      <c r="J121" s="1">
        <f>'[1]Electricity and CHPs_IN'!P$23/SUM('[1]Electricity and CHPs_IN'!P$22:P$23)*J89</f>
        <v>2.5634980713453267E-4</v>
      </c>
      <c r="K121" s="1">
        <f>'[1]Electricity and CHPs_IN'!Q$23/SUM('[1]Electricity and CHPs_IN'!Q$22:Q$23)*K89</f>
        <v>0</v>
      </c>
    </row>
    <row r="122" spans="1:11" x14ac:dyDescent="0.35">
      <c r="A122" s="5" t="str">
        <f t="shared" si="43"/>
        <v>STEM</v>
      </c>
      <c r="B122" s="5" t="str">
        <f t="shared" si="44"/>
        <v>SPS1</v>
      </c>
      <c r="C122" s="5" t="str">
        <f t="shared" si="45"/>
        <v>CH</v>
      </c>
      <c r="D122" t="s">
        <v>622</v>
      </c>
      <c r="E122" t="str">
        <f t="shared" si="8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'[1]Electricity and CHPs_IN'!P$23/SUM('[1]Electricity and CHPs_IN'!P$22:P$23)*J90</f>
        <v>0</v>
      </c>
      <c r="K122" s="1">
        <f>'[1]Electricity and CHPs_IN'!Q$23/SUM('[1]Electricity and CHPs_IN'!Q$22:Q$23)*K90</f>
        <v>0</v>
      </c>
    </row>
    <row r="123" spans="1:11" x14ac:dyDescent="0.35">
      <c r="A123" s="5" t="str">
        <f t="shared" si="43"/>
        <v>STEM</v>
      </c>
      <c r="B123" s="5" t="str">
        <f t="shared" si="44"/>
        <v>SPS1</v>
      </c>
      <c r="C123" s="5" t="str">
        <f t="shared" si="45"/>
        <v>CH</v>
      </c>
      <c r="D123" t="s">
        <v>623</v>
      </c>
      <c r="E123" t="str">
        <f t="shared" si="82"/>
        <v>PJ/yr.</v>
      </c>
      <c r="F123" s="1">
        <f>'[1]Electricity and CHPs_IN'!L$23/SUM('[1]Electricity and CHPs_IN'!L$22:L$23)*F91</f>
        <v>6.9904697971270217E-4</v>
      </c>
      <c r="G123" s="1">
        <f>'[1]Electricity and CHPs_IN'!M$23/SUM('[1]Electricity and CHPs_IN'!M$22:M$23)*G91</f>
        <v>1.8157529808674828E-3</v>
      </c>
      <c r="H123" s="1">
        <f>'[1]Electricity and CHPs_IN'!N$23/SUM('[1]Electricity and CHPs_IN'!N$22:N$23)*H91</f>
        <v>3.7360759964985375E-3</v>
      </c>
      <c r="I123" s="1">
        <f>'[1]Electricity and CHPs_IN'!O$23/SUM('[1]Electricity and CHPs_IN'!O$22:O$23)*I91</f>
        <v>5.7563214865799846E-3</v>
      </c>
      <c r="J123" s="1">
        <f>'[1]Electricity and CHPs_IN'!P$23/SUM('[1]Electricity and CHPs_IN'!P$22:P$23)*J91</f>
        <v>1.8121394291626802E-2</v>
      </c>
      <c r="K123" s="1">
        <f>'[1]Electricity and CHPs_IN'!Q$23/SUM('[1]Electricity and CHPs_IN'!Q$22:Q$23)*K91</f>
        <v>0</v>
      </c>
    </row>
    <row r="124" spans="1:11" x14ac:dyDescent="0.35">
      <c r="A124" s="5" t="str">
        <f t="shared" si="43"/>
        <v>STEM</v>
      </c>
      <c r="B124" s="5" t="str">
        <f t="shared" si="44"/>
        <v>SPS1</v>
      </c>
      <c r="C124" s="5" t="str">
        <f t="shared" si="45"/>
        <v>CH</v>
      </c>
      <c r="D124" t="s">
        <v>624</v>
      </c>
      <c r="E124" t="str">
        <f t="shared" si="8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'[1]Electricity and CHPs_IN'!P$23/SUM('[1]Electricity and CHPs_IN'!P$22:P$23)*J92</f>
        <v>0</v>
      </c>
      <c r="K124" s="1">
        <f>'[1]Electricity and CHPs_IN'!Q$23/SUM('[1]Electricity and CHPs_IN'!Q$22:Q$23)*K92</f>
        <v>0</v>
      </c>
    </row>
    <row r="125" spans="1:11" x14ac:dyDescent="0.35">
      <c r="A125" s="5" t="str">
        <f t="shared" si="43"/>
        <v>STEM</v>
      </c>
      <c r="B125" s="5" t="str">
        <f t="shared" si="44"/>
        <v>SPS1</v>
      </c>
      <c r="C125" s="5" t="str">
        <f t="shared" si="45"/>
        <v>CH</v>
      </c>
      <c r="D125" t="s">
        <v>625</v>
      </c>
      <c r="E125" t="str">
        <f t="shared" si="82"/>
        <v>PJ/yr.</v>
      </c>
      <c r="F125" s="1">
        <f t="shared" ref="F125:K125" si="83">F93</f>
        <v>0.95937493003076746</v>
      </c>
      <c r="G125" s="1">
        <f t="shared" si="83"/>
        <v>1.1059442191052704</v>
      </c>
      <c r="H125" s="1">
        <f t="shared" si="83"/>
        <v>1.10594113999872</v>
      </c>
      <c r="I125" s="1">
        <f t="shared" si="83"/>
        <v>1.1059413230136084</v>
      </c>
      <c r="J125" s="1">
        <f t="shared" si="83"/>
        <v>1.1059442707808418</v>
      </c>
      <c r="K125" s="1">
        <f t="shared" si="83"/>
        <v>1.1059415423416161</v>
      </c>
    </row>
    <row r="126" spans="1:11" x14ac:dyDescent="0.35">
      <c r="A126" s="5" t="str">
        <f t="shared" si="43"/>
        <v>STEM</v>
      </c>
      <c r="B126" s="5" t="str">
        <f t="shared" si="44"/>
        <v>SPS1</v>
      </c>
      <c r="C126" s="5" t="str">
        <f t="shared" si="45"/>
        <v>CH</v>
      </c>
      <c r="D126" t="s">
        <v>626</v>
      </c>
      <c r="E126" t="str">
        <f t="shared" si="82"/>
        <v>PJ/yr.</v>
      </c>
      <c r="F126" s="1">
        <f>'[1]Electricity and CHPs_IN'!L$23/SUM('[1]Electricity and CHPs_IN'!L$22:L$23)*F94</f>
        <v>1.4990524863430976E-2</v>
      </c>
      <c r="G126" s="1">
        <f>'[1]Electricity and CHPs_IN'!M$23/SUM('[1]Electricity and CHPs_IN'!M$22:M$23)*G94</f>
        <v>1.3772438325794422E-2</v>
      </c>
      <c r="H126" s="1">
        <f>'[1]Electricity and CHPs_IN'!N$23/SUM('[1]Electricity and CHPs_IN'!N$22:N$23)*H94</f>
        <v>7.4835188520062101E-3</v>
      </c>
      <c r="I126" s="1">
        <f>'[1]Electricity and CHPs_IN'!O$23/SUM('[1]Electricity and CHPs_IN'!O$22:O$23)*I94</f>
        <v>2.8540959919860199E-3</v>
      </c>
      <c r="J126" s="1">
        <f>'[1]Electricity and CHPs_IN'!P$23/SUM('[1]Electricity and CHPs_IN'!P$22:P$23)*J94</f>
        <v>1.4163291426641095E-2</v>
      </c>
      <c r="K126" s="1">
        <f>'[1]Electricity and CHPs_IN'!Q$23/SUM('[1]Electricity and CHPs_IN'!Q$22:Q$23)*K94</f>
        <v>0</v>
      </c>
    </row>
    <row r="127" spans="1:11" x14ac:dyDescent="0.35">
      <c r="A127" s="5" t="str">
        <f t="shared" si="43"/>
        <v>STEM</v>
      </c>
      <c r="B127" s="5" t="str">
        <f t="shared" si="44"/>
        <v>SPS1</v>
      </c>
      <c r="C127" s="5" t="str">
        <f t="shared" si="45"/>
        <v>CH</v>
      </c>
      <c r="D127" t="s">
        <v>627</v>
      </c>
      <c r="E127" t="str">
        <f t="shared" si="82"/>
        <v>PJ/yr.</v>
      </c>
      <c r="F127" s="1">
        <f>'[1]Electricity and CHPs_IN'!L$23/SUM('[1]Electricity and CHPs_IN'!L$22:L$23)*F95</f>
        <v>0</v>
      </c>
      <c r="G127" s="1">
        <f>'[1]Electricity and CHPs_IN'!M$23/SUM('[1]Electricity and CHPs_IN'!M$22:M$23)*G95</f>
        <v>0</v>
      </c>
      <c r="H127" s="1">
        <f>'[1]Electricity and CHPs_IN'!N$23/SUM('[1]Electricity and CHPs_IN'!N$22:N$23)*H95</f>
        <v>0</v>
      </c>
      <c r="I127" s="1">
        <f>'[1]Electricity and CHPs_IN'!O$23/SUM('[1]Electricity and CHPs_IN'!O$22:O$23)*I95</f>
        <v>0</v>
      </c>
      <c r="J127" s="1">
        <f>'[1]Electricity and CHPs_IN'!P$23/SUM('[1]Electricity and CHPs_IN'!P$22:P$23)*J95</f>
        <v>0</v>
      </c>
      <c r="K127" s="1">
        <f>'[1]Electricity and CHPs_IN'!Q$23/SUM('[1]Electricity and CHPs_IN'!Q$22:Q$23)*K95</f>
        <v>0</v>
      </c>
    </row>
    <row r="128" spans="1:11" x14ac:dyDescent="0.35">
      <c r="A128" s="5" t="str">
        <f t="shared" si="43"/>
        <v>STEM</v>
      </c>
      <c r="B128" s="5" t="str">
        <f t="shared" si="44"/>
        <v>SPS1</v>
      </c>
      <c r="C128" s="5" t="str">
        <f t="shared" si="45"/>
        <v>CH</v>
      </c>
      <c r="D128" t="s">
        <v>800</v>
      </c>
      <c r="E128" t="str">
        <f t="shared" si="82"/>
        <v>PJ/yr.</v>
      </c>
      <c r="F128" s="1">
        <f>SUM(F129:F134)</f>
        <v>8.2845981224453951</v>
      </c>
      <c r="G128" s="1">
        <f t="shared" ref="G128:K128" si="84">SUM(G129:G134)</f>
        <v>8.9572278899040345</v>
      </c>
      <c r="H128" s="1">
        <f t="shared" si="84"/>
        <v>9.1881997752861828</v>
      </c>
      <c r="I128" s="1">
        <f t="shared" si="84"/>
        <v>9.1596858150095404</v>
      </c>
      <c r="J128" s="1">
        <f t="shared" si="84"/>
        <v>9.4514689783409924</v>
      </c>
      <c r="K128" s="1">
        <f t="shared" si="84"/>
        <v>11.133408022420431</v>
      </c>
    </row>
    <row r="129" spans="1:17" x14ac:dyDescent="0.35">
      <c r="A129" s="5" t="str">
        <f t="shared" si="43"/>
        <v>STEM</v>
      </c>
      <c r="B129" s="5" t="str">
        <f t="shared" si="44"/>
        <v>SPS1</v>
      </c>
      <c r="C129" s="5" t="str">
        <f t="shared" si="45"/>
        <v>CH</v>
      </c>
      <c r="D129" t="s">
        <v>53</v>
      </c>
      <c r="E129" t="str">
        <f>E73</f>
        <v>PJ/yr.</v>
      </c>
      <c r="F129" s="1">
        <f>'[1]Electricity and CHPs'!B19</f>
        <v>6.5070009628119632</v>
      </c>
      <c r="G129" s="1">
        <f>'[1]Electricity and CHPs'!C19</f>
        <v>7.3027682555643674</v>
      </c>
      <c r="H129" s="1">
        <f>'[1]Electricity and CHPs'!D19</f>
        <v>7.411998323261578</v>
      </c>
      <c r="I129" s="1">
        <f>'[1]Electricity and CHPs'!E19</f>
        <v>7.3981386529536772</v>
      </c>
      <c r="J129" s="1">
        <f>'[1]Electricity and CHPs'!F19</f>
        <v>5.0322515952326246</v>
      </c>
      <c r="K129" s="1">
        <f>'[1]Electricity and CHPs'!G19</f>
        <v>4.6999671370214378</v>
      </c>
    </row>
    <row r="130" spans="1:17" x14ac:dyDescent="0.35">
      <c r="A130" s="5" t="str">
        <f t="shared" si="43"/>
        <v>STEM</v>
      </c>
      <c r="B130" s="5" t="str">
        <f t="shared" si="44"/>
        <v>SPS1</v>
      </c>
      <c r="C130" s="5" t="str">
        <f t="shared" si="45"/>
        <v>CH</v>
      </c>
      <c r="D130" t="s">
        <v>52</v>
      </c>
      <c r="E130" t="str">
        <f>E129</f>
        <v>PJ/yr.</v>
      </c>
      <c r="F130" s="1">
        <f>'[1]Electricity and CHPs'!B20</f>
        <v>0</v>
      </c>
      <c r="G130" s="1">
        <f>'[1]Electricity and CHPs'!C20</f>
        <v>0</v>
      </c>
      <c r="H130" s="1">
        <f>'[1]Electricity and CHPs'!D20</f>
        <v>0</v>
      </c>
      <c r="I130" s="1">
        <f>'[1]Electricity and CHPs'!E20</f>
        <v>0</v>
      </c>
      <c r="J130" s="1">
        <f>'[1]Electricity and CHPs'!F20</f>
        <v>2.7056548903470619</v>
      </c>
      <c r="K130" s="1">
        <f>'[1]Electricity and CHPs'!G20</f>
        <v>4.4885583394399982</v>
      </c>
    </row>
    <row r="131" spans="1:17" x14ac:dyDescent="0.35">
      <c r="A131" s="5" t="str">
        <f t="shared" si="43"/>
        <v>STEM</v>
      </c>
      <c r="B131" s="5" t="str">
        <f t="shared" si="44"/>
        <v>SPS1</v>
      </c>
      <c r="C131" s="5" t="str">
        <f t="shared" si="45"/>
        <v>CH</v>
      </c>
      <c r="D131" t="s">
        <v>51</v>
      </c>
      <c r="E131" t="str">
        <f>E150</f>
        <v>PJ/yr.</v>
      </c>
      <c r="F131" s="1">
        <f>'[1]Electricity and CHPs'!B26</f>
        <v>1.5475494193466222</v>
      </c>
      <c r="G131" s="1">
        <f>'[1]Electricity and CHPs'!C26</f>
        <v>1.4243002982946662</v>
      </c>
      <c r="H131" s="1">
        <f>'[1]Electricity and CHPs'!D26</f>
        <v>1.4394943976972043</v>
      </c>
      <c r="I131" s="1">
        <f>'[1]Electricity and CHPs'!E26</f>
        <v>1.4285997353522328</v>
      </c>
      <c r="J131" s="1">
        <f>'[1]Electricity and CHPs'!F26</f>
        <v>0.96658895810874634</v>
      </c>
      <c r="K131" s="1">
        <f>'[1]Electricity and CHPs'!G26</f>
        <v>0.63309065367518613</v>
      </c>
    </row>
    <row r="132" spans="1:17" x14ac:dyDescent="0.35">
      <c r="A132" s="5" t="str">
        <f t="shared" si="43"/>
        <v>STEM</v>
      </c>
      <c r="B132" s="5" t="str">
        <f t="shared" si="44"/>
        <v>SPS1</v>
      </c>
      <c r="C132" s="5" t="str">
        <f t="shared" si="45"/>
        <v>CH</v>
      </c>
      <c r="D132" t="s">
        <v>50</v>
      </c>
      <c r="E132" t="str">
        <f>E131</f>
        <v>PJ/yr.</v>
      </c>
      <c r="F132" s="1">
        <f>'[1]Electricity and CHPs'!B27</f>
        <v>0</v>
      </c>
      <c r="G132" s="1">
        <f>'[1]Electricity and CHPs'!C27</f>
        <v>0</v>
      </c>
      <c r="H132" s="1">
        <f>'[1]Electricity and CHPs'!D27</f>
        <v>0</v>
      </c>
      <c r="I132" s="1">
        <f>'[1]Electricity and CHPs'!E27</f>
        <v>0</v>
      </c>
      <c r="J132" s="1">
        <f>'[1]Electricity and CHPs'!F27</f>
        <v>0.43034446692561606</v>
      </c>
      <c r="K132" s="1">
        <f>'[1]Electricity and CHPs'!G27</f>
        <v>0.71886975600731162</v>
      </c>
    </row>
    <row r="133" spans="1:17" x14ac:dyDescent="0.35">
      <c r="A133" s="5" t="str">
        <f t="shared" si="43"/>
        <v>STEM</v>
      </c>
      <c r="B133" s="5" t="str">
        <f t="shared" si="44"/>
        <v>SPS1</v>
      </c>
      <c r="C133" s="5" t="str">
        <f t="shared" si="45"/>
        <v>CH</v>
      </c>
      <c r="D133" t="s">
        <v>48</v>
      </c>
      <c r="E133" t="str">
        <f>E153</f>
        <v>PJ/yr.</v>
      </c>
      <c r="F133" s="1">
        <f>'[1]Electricity and CHPs'!B44</f>
        <v>0.23004774028680994</v>
      </c>
      <c r="G133" s="1">
        <f>'[1]Electricity and CHPs'!C44</f>
        <v>0.23015933604500072</v>
      </c>
      <c r="H133" s="1">
        <f>'[1]Electricity and CHPs'!D44</f>
        <v>0.33670705432740033</v>
      </c>
      <c r="I133" s="1">
        <f>'[1]Electricity and CHPs'!E44</f>
        <v>0.33294742670362881</v>
      </c>
      <c r="J133" s="1">
        <f>'[1]Electricity and CHPs'!F44</f>
        <v>0.21766846304028453</v>
      </c>
      <c r="K133" s="1">
        <f>'[1]Electricity and CHPs'!G44</f>
        <v>6.1758054453918466E-5</v>
      </c>
    </row>
    <row r="134" spans="1:17" x14ac:dyDescent="0.35">
      <c r="A134" s="5" t="str">
        <f t="shared" si="43"/>
        <v>STEM</v>
      </c>
      <c r="B134" s="5" t="str">
        <f t="shared" si="44"/>
        <v>SPS1</v>
      </c>
      <c r="C134" s="5" t="str">
        <f t="shared" si="45"/>
        <v>CH</v>
      </c>
      <c r="D134" t="s">
        <v>49</v>
      </c>
      <c r="E134" t="str">
        <f>E133</f>
        <v>PJ/yr.</v>
      </c>
      <c r="F134" s="1">
        <f>'[1]Electricity and CHPs'!B45</f>
        <v>0</v>
      </c>
      <c r="G134" s="1">
        <f>'[1]Electricity and CHPs'!C45</f>
        <v>0</v>
      </c>
      <c r="H134" s="1">
        <f>'[1]Electricity and CHPs'!D45</f>
        <v>0</v>
      </c>
      <c r="I134" s="1">
        <f>'[1]Electricity and CHPs'!E45</f>
        <v>0</v>
      </c>
      <c r="J134" s="1">
        <f>'[1]Electricity and CHPs'!F45</f>
        <v>9.8960604686658529E-2</v>
      </c>
      <c r="K134" s="1">
        <f>'[1]Electricity and CHPs'!G45</f>
        <v>0.59286037822204374</v>
      </c>
    </row>
    <row r="135" spans="1:17" x14ac:dyDescent="0.35">
      <c r="A135" s="5" t="str">
        <f t="shared" si="43"/>
        <v>STEM</v>
      </c>
      <c r="B135" s="5" t="str">
        <f t="shared" si="44"/>
        <v>SPS1</v>
      </c>
      <c r="C135" s="5" t="str">
        <f t="shared" si="45"/>
        <v>CH</v>
      </c>
      <c r="D135" t="s">
        <v>89</v>
      </c>
      <c r="E135" t="str">
        <f t="shared" ref="E135:E149" si="85">E134</f>
        <v>PJ/yr.</v>
      </c>
      <c r="F135" s="1">
        <f>SUM(F136:F139)</f>
        <v>4.0272751910792923</v>
      </c>
      <c r="G135" s="1">
        <f t="shared" ref="G135:K135" si="86">SUM(G136:G139)</f>
        <v>4.3635342769295162</v>
      </c>
      <c r="H135" s="1">
        <f t="shared" si="86"/>
        <v>4.4257463604793914</v>
      </c>
      <c r="I135" s="1">
        <f t="shared" si="86"/>
        <v>4.4133691941529545</v>
      </c>
      <c r="J135" s="1">
        <f t="shared" si="86"/>
        <v>4.5674199553070247</v>
      </c>
      <c r="K135" s="1">
        <f t="shared" si="86"/>
        <v>5.2702429430719668</v>
      </c>
      <c r="M135" s="1"/>
      <c r="N135" s="1"/>
      <c r="O135" s="1"/>
      <c r="P135" s="1"/>
      <c r="Q135" s="1"/>
    </row>
    <row r="136" spans="1:17" x14ac:dyDescent="0.35">
      <c r="A136" s="5" t="str">
        <f t="shared" si="43"/>
        <v>STEM</v>
      </c>
      <c r="B136" s="5" t="str">
        <f t="shared" si="44"/>
        <v>SPS1</v>
      </c>
      <c r="C136" s="5" t="str">
        <f t="shared" si="45"/>
        <v>CH</v>
      </c>
      <c r="D136" t="s">
        <v>60</v>
      </c>
      <c r="E136" t="str">
        <f>E135</f>
        <v>PJ/yr.</v>
      </c>
      <c r="F136" s="1" cm="1">
        <f t="array" ref="F136">F129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3.2535004814059816</v>
      </c>
      <c r="G136" s="1" cm="1">
        <f t="array" ref="G136">G129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3.6513841277821832</v>
      </c>
      <c r="H136" s="1" cm="1">
        <f t="array" ref="H136">H129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3.705999161630789</v>
      </c>
      <c r="I136" s="1" cm="1">
        <f t="array" ref="I136">I129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3.6990693264768382</v>
      </c>
      <c r="J136" s="1" cm="1">
        <f t="array" ref="J136">J129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2.5161257976163123</v>
      </c>
      <c r="K136" s="1" cm="1">
        <f t="array" ref="K136">K129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2.3499835685107189</v>
      </c>
    </row>
    <row r="137" spans="1:17" x14ac:dyDescent="0.35">
      <c r="A137" s="5" t="str">
        <f t="shared" si="43"/>
        <v>STEM</v>
      </c>
      <c r="B137" s="5" t="str">
        <f t="shared" si="44"/>
        <v>SPS1</v>
      </c>
      <c r="C137" s="5" t="str">
        <f t="shared" si="45"/>
        <v>CH</v>
      </c>
      <c r="D137" t="s">
        <v>61</v>
      </c>
      <c r="E137" t="str">
        <f t="shared" si="85"/>
        <v>PJ/yr.</v>
      </c>
      <c r="F137" s="1" cm="1">
        <f t="array" ref="F137">F130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7" s="1" cm="1">
        <f t="array" ref="G137">G130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7" s="1" cm="1">
        <f t="array" ref="H137">H130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7" s="1" cm="1">
        <f t="array" ref="I137">I130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7" s="1" cm="1">
        <f t="array" ref="J137">J130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1.3528274451735312</v>
      </c>
      <c r="K137" s="1" cm="1">
        <f t="array" ref="K137">K130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2.2442791697199991</v>
      </c>
    </row>
    <row r="138" spans="1:17" x14ac:dyDescent="0.35">
      <c r="A138" s="5" t="str">
        <f t="shared" si="43"/>
        <v>STEM</v>
      </c>
      <c r="B138" s="5" t="str">
        <f t="shared" si="44"/>
        <v>SPS1</v>
      </c>
      <c r="C138" s="5" t="str">
        <f t="shared" si="45"/>
        <v>CH</v>
      </c>
      <c r="D138" t="s">
        <v>62</v>
      </c>
      <c r="E138" t="str">
        <f t="shared" si="85"/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0.77377470967331097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0.7121501491473331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0.71974719884860217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0.71429986767611653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0.48329447905437317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0.31654532683759307</v>
      </c>
    </row>
    <row r="139" spans="1:17" x14ac:dyDescent="0.35">
      <c r="A139" s="5" t="str">
        <f t="shared" si="43"/>
        <v>STEM</v>
      </c>
      <c r="B139" s="5" t="str">
        <f t="shared" si="44"/>
        <v>SPS1</v>
      </c>
      <c r="C139" s="5" t="str">
        <f t="shared" si="45"/>
        <v>CH</v>
      </c>
      <c r="D139" t="s">
        <v>63</v>
      </c>
      <c r="E139" t="str">
        <f t="shared" si="85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0.21517223346280803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0.35943487800365581</v>
      </c>
    </row>
    <row r="140" spans="1:17" x14ac:dyDescent="0.35">
      <c r="A140" s="5" t="str">
        <f t="shared" si="43"/>
        <v>STEM</v>
      </c>
      <c r="B140" s="5" t="str">
        <f t="shared" si="44"/>
        <v>SPS1</v>
      </c>
      <c r="C140" s="5" t="str">
        <f t="shared" si="45"/>
        <v>CH</v>
      </c>
      <c r="D140" t="s">
        <v>64</v>
      </c>
      <c r="E140" t="str">
        <f t="shared" si="85"/>
        <v>PJ/yr.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7" x14ac:dyDescent="0.35">
      <c r="A141" s="5" t="str">
        <f t="shared" si="43"/>
        <v>STEM</v>
      </c>
      <c r="B141" s="5" t="str">
        <f t="shared" si="44"/>
        <v>SPS1</v>
      </c>
      <c r="C141" s="5" t="str">
        <f t="shared" si="45"/>
        <v>CH</v>
      </c>
      <c r="D141" t="s">
        <v>65</v>
      </c>
      <c r="E141" t="str">
        <f t="shared" si="85"/>
        <v>PJ/yr.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7" x14ac:dyDescent="0.35">
      <c r="A142" s="5" t="str">
        <f t="shared" si="43"/>
        <v>STEM</v>
      </c>
      <c r="B142" s="5" t="str">
        <f t="shared" si="44"/>
        <v>SPS1</v>
      </c>
      <c r="C142" s="5" t="str">
        <f t="shared" si="45"/>
        <v>CH</v>
      </c>
      <c r="D142" t="s">
        <v>801</v>
      </c>
      <c r="E142" t="str">
        <f>E141</f>
        <v>PJ/yr.</v>
      </c>
      <c r="F142" s="1">
        <f>SUM(F143:F148)</f>
        <v>4.2573229313661018</v>
      </c>
      <c r="G142" s="1">
        <f t="shared" ref="G142:K142" si="87">SUM(G143:G148)</f>
        <v>4.5936936129745174</v>
      </c>
      <c r="H142" s="1">
        <f t="shared" si="87"/>
        <v>4.7624534148067914</v>
      </c>
      <c r="I142" s="1">
        <f t="shared" si="87"/>
        <v>4.7463166208565841</v>
      </c>
      <c r="J142" s="1">
        <f t="shared" si="87"/>
        <v>4.8840490230339677</v>
      </c>
      <c r="K142" s="1">
        <f t="shared" si="87"/>
        <v>5.8631650793484642</v>
      </c>
    </row>
    <row r="143" spans="1:17" x14ac:dyDescent="0.35">
      <c r="A143" s="5" t="str">
        <f t="shared" si="43"/>
        <v>STEM</v>
      </c>
      <c r="B143" s="5" t="str">
        <f t="shared" si="44"/>
        <v>SPS1</v>
      </c>
      <c r="C143" s="5" t="str">
        <f t="shared" si="45"/>
        <v>CH</v>
      </c>
      <c r="D143" t="s">
        <v>56</v>
      </c>
      <c r="E143" t="str">
        <f>E142</f>
        <v>PJ/yr.</v>
      </c>
      <c r="F143" s="1">
        <f>F129-F136</f>
        <v>3.2535004814059816</v>
      </c>
      <c r="G143" s="1">
        <f t="shared" ref="G143:K143" si="88">G129-G136</f>
        <v>3.6513841277821841</v>
      </c>
      <c r="H143" s="1">
        <f t="shared" si="88"/>
        <v>3.705999161630789</v>
      </c>
      <c r="I143" s="1">
        <f t="shared" si="88"/>
        <v>3.6990693264768391</v>
      </c>
      <c r="J143" s="1">
        <f t="shared" si="88"/>
        <v>2.5161257976163123</v>
      </c>
      <c r="K143" s="1">
        <f t="shared" si="88"/>
        <v>2.3499835685107189</v>
      </c>
    </row>
    <row r="144" spans="1:17" x14ac:dyDescent="0.35">
      <c r="A144" s="5" t="str">
        <f t="shared" si="43"/>
        <v>STEM</v>
      </c>
      <c r="B144" s="5" t="str">
        <f t="shared" si="44"/>
        <v>SPS1</v>
      </c>
      <c r="C144" s="5" t="str">
        <f t="shared" si="45"/>
        <v>CH</v>
      </c>
      <c r="D144" t="s">
        <v>57</v>
      </c>
      <c r="E144" t="str">
        <f t="shared" si="85"/>
        <v>PJ/yr.</v>
      </c>
      <c r="F144" s="1">
        <f t="shared" ref="F144:K144" si="89">F130-F137</f>
        <v>0</v>
      </c>
      <c r="G144" s="1">
        <f t="shared" si="89"/>
        <v>0</v>
      </c>
      <c r="H144" s="1">
        <f t="shared" si="89"/>
        <v>0</v>
      </c>
      <c r="I144" s="1">
        <f t="shared" si="89"/>
        <v>0</v>
      </c>
      <c r="J144" s="1">
        <f t="shared" si="89"/>
        <v>1.3528274451735307</v>
      </c>
      <c r="K144" s="1">
        <f t="shared" si="89"/>
        <v>2.2442791697199991</v>
      </c>
    </row>
    <row r="145" spans="1:11" x14ac:dyDescent="0.35">
      <c r="A145" s="5" t="str">
        <f t="shared" si="43"/>
        <v>STEM</v>
      </c>
      <c r="B145" s="5" t="str">
        <f t="shared" si="44"/>
        <v>SPS1</v>
      </c>
      <c r="C145" s="5" t="str">
        <f t="shared" si="45"/>
        <v>CH</v>
      </c>
      <c r="D145" t="s">
        <v>58</v>
      </c>
      <c r="E145" t="str">
        <f t="shared" si="85"/>
        <v>PJ/yr.</v>
      </c>
      <c r="F145" s="1">
        <f t="shared" ref="F145:K145" si="90">F131-F138</f>
        <v>0.77377470967331119</v>
      </c>
      <c r="G145" s="1">
        <f t="shared" si="90"/>
        <v>0.7121501491473331</v>
      </c>
      <c r="H145" s="1">
        <f t="shared" si="90"/>
        <v>0.71974719884860217</v>
      </c>
      <c r="I145" s="1">
        <f t="shared" si="90"/>
        <v>0.71429986767611631</v>
      </c>
      <c r="J145" s="1">
        <f t="shared" si="90"/>
        <v>0.48329447905437317</v>
      </c>
      <c r="K145" s="1">
        <f t="shared" si="90"/>
        <v>0.31654532683759307</v>
      </c>
    </row>
    <row r="146" spans="1:11" x14ac:dyDescent="0.35">
      <c r="A146" s="5" t="str">
        <f t="shared" si="43"/>
        <v>STEM</v>
      </c>
      <c r="B146" s="5" t="str">
        <f t="shared" si="44"/>
        <v>SPS1</v>
      </c>
      <c r="C146" s="5" t="str">
        <f t="shared" si="45"/>
        <v>CH</v>
      </c>
      <c r="D146" t="s">
        <v>59</v>
      </c>
      <c r="E146" t="str">
        <f t="shared" si="85"/>
        <v>PJ/yr.</v>
      </c>
      <c r="F146" s="1">
        <f t="shared" ref="F146:K146" si="91">F132-F139</f>
        <v>0</v>
      </c>
      <c r="G146" s="1">
        <f t="shared" si="91"/>
        <v>0</v>
      </c>
      <c r="H146" s="1">
        <f t="shared" si="91"/>
        <v>0</v>
      </c>
      <c r="I146" s="1">
        <f t="shared" si="91"/>
        <v>0</v>
      </c>
      <c r="J146" s="1">
        <f t="shared" si="91"/>
        <v>0.21517223346280803</v>
      </c>
      <c r="K146" s="1">
        <f t="shared" si="91"/>
        <v>0.35943487800365581</v>
      </c>
    </row>
    <row r="147" spans="1:11" x14ac:dyDescent="0.35">
      <c r="A147" s="5" t="str">
        <f t="shared" si="43"/>
        <v>STEM</v>
      </c>
      <c r="B147" s="5" t="str">
        <f t="shared" si="44"/>
        <v>SPS1</v>
      </c>
      <c r="C147" s="5" t="str">
        <f t="shared" si="45"/>
        <v>CH</v>
      </c>
      <c r="D147" t="s">
        <v>54</v>
      </c>
      <c r="E147" t="str">
        <f t="shared" si="85"/>
        <v>PJ/yr.</v>
      </c>
      <c r="F147" s="1">
        <f t="shared" ref="F147:K147" si="92">F133-F140</f>
        <v>0.23004774028680994</v>
      </c>
      <c r="G147" s="1">
        <f t="shared" si="92"/>
        <v>0.23015933604500072</v>
      </c>
      <c r="H147" s="1">
        <f t="shared" si="92"/>
        <v>0.33670705432740033</v>
      </c>
      <c r="I147" s="1">
        <f t="shared" si="92"/>
        <v>0.33294742670362881</v>
      </c>
      <c r="J147" s="1">
        <f t="shared" si="92"/>
        <v>0.21766846304028453</v>
      </c>
      <c r="K147" s="1">
        <f t="shared" si="92"/>
        <v>6.1758054453918466E-5</v>
      </c>
    </row>
    <row r="148" spans="1:11" x14ac:dyDescent="0.35">
      <c r="A148" s="5" t="str">
        <f t="shared" ref="A148:A179" si="93">A147</f>
        <v>STEM</v>
      </c>
      <c r="B148" s="5" t="str">
        <f t="shared" ref="B148:B179" si="94">B147</f>
        <v>SPS1</v>
      </c>
      <c r="C148" s="5" t="str">
        <f t="shared" ref="C148:C179" si="95">C147</f>
        <v>CH</v>
      </c>
      <c r="D148" t="s">
        <v>55</v>
      </c>
      <c r="E148" t="str">
        <f t="shared" si="85"/>
        <v>PJ/yr.</v>
      </c>
      <c r="F148" s="1">
        <f t="shared" ref="F148:K148" si="96">F134-F141</f>
        <v>0</v>
      </c>
      <c r="G148" s="1">
        <f t="shared" si="96"/>
        <v>0</v>
      </c>
      <c r="H148" s="1">
        <f t="shared" si="96"/>
        <v>0</v>
      </c>
      <c r="I148" s="1">
        <f t="shared" si="96"/>
        <v>0</v>
      </c>
      <c r="J148" s="1">
        <f t="shared" si="96"/>
        <v>9.8960604686658529E-2</v>
      </c>
      <c r="K148" s="1">
        <f t="shared" si="96"/>
        <v>0.59286037822204374</v>
      </c>
    </row>
    <row r="149" spans="1:11" x14ac:dyDescent="0.35">
      <c r="A149" s="5" t="str">
        <f t="shared" si="93"/>
        <v>STEM</v>
      </c>
      <c r="B149" s="5" t="str">
        <f t="shared" si="94"/>
        <v>SPS1</v>
      </c>
      <c r="C149" s="5" t="str">
        <f t="shared" si="95"/>
        <v>CH</v>
      </c>
      <c r="D149" t="s">
        <v>802</v>
      </c>
      <c r="E149" t="str">
        <f t="shared" si="85"/>
        <v>PJ/yr.</v>
      </c>
      <c r="F149" s="1">
        <f>SUM(F150:F156)</f>
        <v>0.52178091340365096</v>
      </c>
      <c r="G149" s="1">
        <f t="shared" ref="G149:K149" si="97">SUM(G150:G156)</f>
        <v>0.52177099180609698</v>
      </c>
      <c r="H149" s="1">
        <f t="shared" si="97"/>
        <v>1.1235481455006473</v>
      </c>
      <c r="I149" s="1">
        <f t="shared" si="97"/>
        <v>2.9310747402580857</v>
      </c>
      <c r="J149" s="1">
        <f t="shared" si="97"/>
        <v>4.5423065735443036</v>
      </c>
      <c r="K149" s="1">
        <f t="shared" si="97"/>
        <v>5.8868043973335942</v>
      </c>
    </row>
    <row r="150" spans="1:11" x14ac:dyDescent="0.35">
      <c r="A150" s="5" t="str">
        <f t="shared" si="93"/>
        <v>STEM</v>
      </c>
      <c r="B150" s="5" t="str">
        <f t="shared" si="94"/>
        <v>SPS1</v>
      </c>
      <c r="C150" s="5" t="str">
        <f t="shared" si="95"/>
        <v>CH</v>
      </c>
      <c r="D150" t="s">
        <v>66</v>
      </c>
      <c r="E150" t="str">
        <f>E84</f>
        <v>PJ/yr.</v>
      </c>
      <c r="F150" s="1">
        <f>'[1]Electricity and CHPs'!B25</f>
        <v>0.34930424747185884</v>
      </c>
      <c r="G150" s="1">
        <f>'[1]Electricity and CHPs'!C25</f>
        <v>1.1777356555795814E-4</v>
      </c>
      <c r="H150" s="1">
        <f>'[1]Electricity and CHPs'!D25</f>
        <v>2.6044376589562466E-4</v>
      </c>
      <c r="I150" s="1">
        <f>'[1]Electricity and CHPs'!E25</f>
        <v>1.0730014458396229</v>
      </c>
      <c r="J150" s="1">
        <f>'[1]Electricity and CHPs'!F25</f>
        <v>1.3385577966299516</v>
      </c>
      <c r="K150" s="1">
        <f>'[1]Electricity and CHPs'!G25</f>
        <v>1.4671858515358698</v>
      </c>
    </row>
    <row r="151" spans="1:11" x14ac:dyDescent="0.35">
      <c r="A151" s="5" t="str">
        <f t="shared" si="93"/>
        <v>STEM</v>
      </c>
      <c r="B151" s="5" t="str">
        <f t="shared" si="94"/>
        <v>SPS1</v>
      </c>
      <c r="C151" s="5" t="str">
        <f t="shared" si="95"/>
        <v>CH</v>
      </c>
      <c r="D151" t="s">
        <v>67</v>
      </c>
      <c r="E151" t="str">
        <f>E168</f>
        <v>PJ/yr.</v>
      </c>
      <c r="F151" s="1">
        <f>'[1]Electricity and CHPs'!B31</f>
        <v>0</v>
      </c>
      <c r="G151" s="1">
        <f>'[1]Electricity and CHPs'!C31</f>
        <v>0</v>
      </c>
      <c r="H151" s="1">
        <f>'[1]Electricity and CHPs'!D31</f>
        <v>0</v>
      </c>
      <c r="I151" s="1">
        <f>'[1]Electricity and CHPs'!E31</f>
        <v>0</v>
      </c>
      <c r="J151" s="1">
        <f>'[1]Electricity and CHPs'!F31</f>
        <v>2.8906893966344419E-4</v>
      </c>
      <c r="K151" s="1">
        <f>'[1]Electricity and CHPs'!G31</f>
        <v>1.7683246107332348E-3</v>
      </c>
    </row>
    <row r="152" spans="1:11" x14ac:dyDescent="0.35">
      <c r="A152" s="5" t="str">
        <f t="shared" si="93"/>
        <v>STEM</v>
      </c>
      <c r="B152" s="5" t="str">
        <f t="shared" si="94"/>
        <v>SPS1</v>
      </c>
      <c r="C152" s="5" t="str">
        <f t="shared" si="95"/>
        <v>CH</v>
      </c>
      <c r="D152" t="s">
        <v>68</v>
      </c>
      <c r="E152" t="str">
        <f>E75</f>
        <v>PJ/yr.</v>
      </c>
      <c r="F152" s="1">
        <f>'[1]Electricity and CHPs'!B42</f>
        <v>0.17247666593179214</v>
      </c>
      <c r="G152" s="1">
        <f>'[1]Electricity and CHPs'!C42</f>
        <v>0.52165321824053901</v>
      </c>
      <c r="H152" s="1">
        <f>'[1]Electricity and CHPs'!D42</f>
        <v>1.1232877017347516</v>
      </c>
      <c r="I152" s="1">
        <f>'[1]Electricity and CHPs'!E42</f>
        <v>1.8550125645457916</v>
      </c>
      <c r="J152" s="1">
        <f>'[1]Electricity and CHPs'!F42</f>
        <v>1.7186525483122645</v>
      </c>
      <c r="K152" s="1">
        <f>'[1]Electricity and CHPs'!G42</f>
        <v>1.7152488066302649</v>
      </c>
    </row>
    <row r="153" spans="1:11" x14ac:dyDescent="0.35">
      <c r="A153" s="5" t="str">
        <f t="shared" si="93"/>
        <v>STEM</v>
      </c>
      <c r="B153" s="5" t="str">
        <f t="shared" si="94"/>
        <v>SPS1</v>
      </c>
      <c r="C153" s="5" t="str">
        <f t="shared" si="95"/>
        <v>CH</v>
      </c>
      <c r="D153" t="s">
        <v>69</v>
      </c>
      <c r="E153" t="str">
        <f>E152</f>
        <v>PJ/yr.</v>
      </c>
      <c r="F153" s="1">
        <f>'[1]Electricity and CHPs'!B43</f>
        <v>0</v>
      </c>
      <c r="G153" s="1">
        <f>'[1]Electricity and CHPs'!C43</f>
        <v>0</v>
      </c>
      <c r="H153" s="1">
        <f>'[1]Electricity and CHPs'!D43</f>
        <v>0</v>
      </c>
      <c r="I153" s="1">
        <f>'[1]Electricity and CHPs'!E43</f>
        <v>0</v>
      </c>
      <c r="J153" s="1">
        <f>'[1]Electricity and CHPs'!F43</f>
        <v>1.1229653357707416</v>
      </c>
      <c r="K153" s="1">
        <f>'[1]Electricity and CHPs'!G43</f>
        <v>2.4674652656067799</v>
      </c>
    </row>
    <row r="154" spans="1:11" x14ac:dyDescent="0.35">
      <c r="A154" s="5" t="str">
        <f t="shared" si="93"/>
        <v>STEM</v>
      </c>
      <c r="B154" s="5" t="str">
        <f t="shared" si="94"/>
        <v>SPS1</v>
      </c>
      <c r="C154" s="5" t="str">
        <f t="shared" si="95"/>
        <v>CH</v>
      </c>
      <c r="D154" t="s">
        <v>70</v>
      </c>
      <c r="E154" t="str">
        <f>E90</f>
        <v>PJ/yr.</v>
      </c>
      <c r="F154" s="1">
        <f>'[1]Electricity and CHPs'!B50</f>
        <v>0</v>
      </c>
      <c r="G154" s="1">
        <f>'[1]Electricity and CHPs'!C50</f>
        <v>0</v>
      </c>
      <c r="H154" s="1">
        <f>'[1]Electricity and CHPs'!D50</f>
        <v>0</v>
      </c>
      <c r="I154" s="1">
        <f>'[1]Electricity and CHPs'!E50</f>
        <v>6.273391796714242E-4</v>
      </c>
      <c r="J154" s="1">
        <f>'[1]Electricity and CHPs'!F50</f>
        <v>1.5799748584427765E-3</v>
      </c>
      <c r="K154" s="1">
        <f>'[1]Electricity and CHPs'!G50</f>
        <v>7.0994927732627173E-4</v>
      </c>
    </row>
    <row r="155" spans="1:11" x14ac:dyDescent="0.35">
      <c r="A155" s="5" t="str">
        <f t="shared" si="93"/>
        <v>STEM</v>
      </c>
      <c r="B155" s="5" t="str">
        <f t="shared" si="94"/>
        <v>SPS1</v>
      </c>
      <c r="C155" s="5" t="str">
        <f t="shared" si="95"/>
        <v>CH</v>
      </c>
      <c r="D155" t="s">
        <v>71</v>
      </c>
      <c r="E155" t="str">
        <f>E92</f>
        <v>PJ/yr.</v>
      </c>
      <c r="F155" s="1">
        <f>'[1]Electricity and CHPs'!B53</f>
        <v>0</v>
      </c>
      <c r="G155" s="1">
        <f>'[1]Electricity and CHPs'!C53</f>
        <v>0</v>
      </c>
      <c r="H155" s="1">
        <f>'[1]Electricity and CHPs'!D53</f>
        <v>0</v>
      </c>
      <c r="I155" s="1">
        <f>'[1]Electricity and CHPs'!E53</f>
        <v>2.0974207815227948E-3</v>
      </c>
      <c r="J155" s="1">
        <f>'[1]Electricity and CHPs'!F53</f>
        <v>0.35928018871262452</v>
      </c>
      <c r="K155" s="1">
        <f>'[1]Electricity and CHPs'!G53</f>
        <v>0.2341997854593072</v>
      </c>
    </row>
    <row r="156" spans="1:11" x14ac:dyDescent="0.35">
      <c r="A156" s="5" t="str">
        <f t="shared" si="93"/>
        <v>STEM</v>
      </c>
      <c r="B156" s="5" t="str">
        <f t="shared" si="94"/>
        <v>SPS1</v>
      </c>
      <c r="C156" s="5" t="str">
        <f t="shared" si="95"/>
        <v>CH</v>
      </c>
      <c r="D156" t="s">
        <v>295</v>
      </c>
      <c r="E156" t="str">
        <f>E94</f>
        <v>PJ/yr.</v>
      </c>
      <c r="F156" s="1">
        <f>'[1]Electricity and CHPs'!B56</f>
        <v>0</v>
      </c>
      <c r="G156" s="1">
        <f>'[1]Electricity and CHPs'!C56</f>
        <v>0</v>
      </c>
      <c r="H156" s="1">
        <f>'[1]Electricity and CHPs'!D56</f>
        <v>0</v>
      </c>
      <c r="I156" s="1">
        <f>'[1]Electricity and CHPs'!E56</f>
        <v>3.3596991147660283E-4</v>
      </c>
      <c r="J156" s="1">
        <f>'[1]Electricity and CHPs'!F56</f>
        <v>9.8166032061562853E-4</v>
      </c>
      <c r="K156" s="1">
        <f>'[1]Electricity and CHPs'!G56</f>
        <v>2.2641421331273085E-4</v>
      </c>
    </row>
    <row r="157" spans="1:11" x14ac:dyDescent="0.35">
      <c r="A157" s="5" t="str">
        <f t="shared" si="93"/>
        <v>STEM</v>
      </c>
      <c r="B157" s="5" t="str">
        <f t="shared" si="94"/>
        <v>SPS1</v>
      </c>
      <c r="C157" s="5" t="str">
        <f t="shared" si="95"/>
        <v>CH</v>
      </c>
      <c r="D157" t="s">
        <v>803</v>
      </c>
      <c r="E157" t="str">
        <f>E95</f>
        <v>PJ/yr.</v>
      </c>
      <c r="F157" s="1">
        <f>F158</f>
        <v>0.52400000000000047</v>
      </c>
      <c r="G157" s="1">
        <f t="shared" ref="G157:K157" si="98">G158</f>
        <v>0.54529202407596833</v>
      </c>
      <c r="H157" s="1">
        <f t="shared" si="98"/>
        <v>0.50316462240951687</v>
      </c>
      <c r="I157" s="1">
        <f t="shared" si="98"/>
        <v>2.0502620649064438</v>
      </c>
      <c r="J157" s="1">
        <f t="shared" si="98"/>
        <v>3.5228267551637362</v>
      </c>
      <c r="K157" s="1">
        <f t="shared" si="98"/>
        <v>14.102832966782467</v>
      </c>
    </row>
    <row r="158" spans="1:11" x14ac:dyDescent="0.35">
      <c r="A158" s="5" t="str">
        <f t="shared" si="93"/>
        <v>STEM</v>
      </c>
      <c r="B158" s="5" t="str">
        <f t="shared" si="94"/>
        <v>SPS1</v>
      </c>
      <c r="C158" s="5" t="str">
        <f t="shared" si="95"/>
        <v>CH</v>
      </c>
      <c r="D158" t="s">
        <v>72</v>
      </c>
      <c r="E158" t="str">
        <f>E165</f>
        <v>PJ/yr.</v>
      </c>
      <c r="F158" s="1">
        <f>'[1]Electricity and CHPs'!B33</f>
        <v>0.52400000000000047</v>
      </c>
      <c r="G158" s="1">
        <f>'[1]Electricity and CHPs'!C33</f>
        <v>0.54529202407596833</v>
      </c>
      <c r="H158" s="1">
        <f>'[1]Electricity and CHPs'!D33</f>
        <v>0.50316462240951687</v>
      </c>
      <c r="I158" s="1">
        <f>'[1]Electricity and CHPs'!E33</f>
        <v>2.0502620649064438</v>
      </c>
      <c r="J158" s="1">
        <f>'[1]Electricity and CHPs'!F33</f>
        <v>3.5228267551637362</v>
      </c>
      <c r="K158" s="1">
        <f>'[1]Electricity and CHPs'!G33</f>
        <v>14.102832966782467</v>
      </c>
    </row>
    <row r="159" spans="1:11" x14ac:dyDescent="0.35">
      <c r="A159" s="5" t="str">
        <f t="shared" si="93"/>
        <v>STEM</v>
      </c>
      <c r="B159" s="5" t="str">
        <f t="shared" si="94"/>
        <v>SPS1</v>
      </c>
      <c r="C159" s="5" t="str">
        <f t="shared" si="95"/>
        <v>CH</v>
      </c>
      <c r="D159" t="s">
        <v>804</v>
      </c>
      <c r="E159" t="str">
        <f>E169</f>
        <v>PJ/yr.</v>
      </c>
      <c r="F159" s="1">
        <f>SUM(F160:F164)</f>
        <v>9.3550000000000111</v>
      </c>
      <c r="G159" s="1">
        <f t="shared" ref="G159:K159" si="99">SUM(G160:G164)</f>
        <v>12.822540912176486</v>
      </c>
      <c r="H159" s="1">
        <f t="shared" si="99"/>
        <v>28.800005469152033</v>
      </c>
      <c r="I159" s="1">
        <f t="shared" si="99"/>
        <v>35.400795700873331</v>
      </c>
      <c r="J159" s="1">
        <f t="shared" si="99"/>
        <v>75.728413528154462</v>
      </c>
      <c r="K159" s="1">
        <f t="shared" si="99"/>
        <v>105.70610270981496</v>
      </c>
    </row>
    <row r="160" spans="1:11" x14ac:dyDescent="0.35">
      <c r="A160" s="5" t="str">
        <f t="shared" si="93"/>
        <v>STEM</v>
      </c>
      <c r="B160" s="5" t="str">
        <f t="shared" si="94"/>
        <v>SPS1</v>
      </c>
      <c r="C160" s="5" t="str">
        <f t="shared" si="95"/>
        <v>CH</v>
      </c>
      <c r="D160" t="s">
        <v>73</v>
      </c>
      <c r="E160" t="str">
        <f>E158</f>
        <v>PJ/yr.</v>
      </c>
      <c r="F160" s="1">
        <f>'[1]Electricity and CHPs'!B34</f>
        <v>0</v>
      </c>
      <c r="G160" s="1">
        <f>'[1]Electricity and CHPs'!C34</f>
        <v>0</v>
      </c>
      <c r="H160" s="1">
        <f>'[1]Electricity and CHPs'!D34</f>
        <v>0.14080599505170271</v>
      </c>
      <c r="I160" s="1">
        <f>'[1]Electricity and CHPs'!E34</f>
        <v>0.23805417087511158</v>
      </c>
      <c r="J160" s="1">
        <f>'[1]Electricity and CHPs'!F34</f>
        <v>2.5415870163117207</v>
      </c>
      <c r="K160" s="1">
        <f>'[1]Electricity and CHPs'!G34</f>
        <v>7.3435169214838325</v>
      </c>
    </row>
    <row r="161" spans="1:11" x14ac:dyDescent="0.35">
      <c r="A161" s="5" t="str">
        <f t="shared" si="93"/>
        <v>STEM</v>
      </c>
      <c r="B161" s="5" t="str">
        <f t="shared" si="94"/>
        <v>SPS1</v>
      </c>
      <c r="C161" s="5" t="str">
        <f t="shared" si="95"/>
        <v>CH</v>
      </c>
      <c r="D161" t="s">
        <v>74</v>
      </c>
      <c r="E161" t="str">
        <f>E160</f>
        <v>PJ/yr.</v>
      </c>
      <c r="F161" s="1">
        <f>'[1]Electricity and CHPs'!B35</f>
        <v>3.517953999707534</v>
      </c>
      <c r="G161" s="1">
        <f>'[1]Electricity and CHPs'!C35</f>
        <v>4.8498357454346204</v>
      </c>
      <c r="H161" s="1">
        <f>'[1]Electricity and CHPs'!D35</f>
        <v>11.161627644528886</v>
      </c>
      <c r="I161" s="1">
        <f>'[1]Electricity and CHPs'!E35</f>
        <v>16.258297366025332</v>
      </c>
      <c r="J161" s="1">
        <f>'[1]Electricity and CHPs'!F35</f>
        <v>40.834405027552961</v>
      </c>
      <c r="K161" s="1">
        <f>'[1]Electricity and CHPs'!G35</f>
        <v>64.334261714438298</v>
      </c>
    </row>
    <row r="162" spans="1:11" x14ac:dyDescent="0.35">
      <c r="A162" s="5" t="str">
        <f t="shared" si="93"/>
        <v>STEM</v>
      </c>
      <c r="B162" s="5" t="str">
        <f t="shared" si="94"/>
        <v>SPS1</v>
      </c>
      <c r="C162" s="5" t="str">
        <f t="shared" si="95"/>
        <v>CH</v>
      </c>
      <c r="D162" t="s">
        <v>75</v>
      </c>
      <c r="E162" t="str">
        <f>E161</f>
        <v>PJ/yr.</v>
      </c>
      <c r="F162" s="1">
        <f>'[1]Electricity and CHPs'!B36</f>
        <v>2.1349390887346629</v>
      </c>
      <c r="G162" s="1">
        <f>'[1]Electricity and CHPs'!C36</f>
        <v>3.3906663604551355</v>
      </c>
      <c r="H162" s="1">
        <f>'[1]Electricity and CHPs'!D36</f>
        <v>4.0419321046137471</v>
      </c>
      <c r="I162" s="1">
        <f>'[1]Electricity and CHPs'!E36</f>
        <v>4.3456932846768277</v>
      </c>
      <c r="J162" s="1">
        <f>'[1]Electricity and CHPs'!F36</f>
        <v>1.5499492061752056</v>
      </c>
      <c r="K162" s="1">
        <f>'[1]Electricity and CHPs'!G36</f>
        <v>3.2251082784662613E-3</v>
      </c>
    </row>
    <row r="163" spans="1:11" x14ac:dyDescent="0.35">
      <c r="A163" s="5" t="str">
        <f t="shared" si="93"/>
        <v>STEM</v>
      </c>
      <c r="B163" s="5" t="str">
        <f t="shared" si="94"/>
        <v>SPS1</v>
      </c>
      <c r="C163" s="5" t="str">
        <f t="shared" si="95"/>
        <v>CH</v>
      </c>
      <c r="D163" t="s">
        <v>76</v>
      </c>
      <c r="E163" t="str">
        <f>E162</f>
        <v>PJ/yr.</v>
      </c>
      <c r="F163" s="1">
        <f>'[1]Electricity and CHPs'!B37</f>
        <v>0.86248322578584768</v>
      </c>
      <c r="G163" s="1">
        <f>'[1]Electricity and CHPs'!C37</f>
        <v>1.2875837493169007</v>
      </c>
      <c r="H163" s="1">
        <f>'[1]Electricity and CHPs'!D37</f>
        <v>3.4890331645823487</v>
      </c>
      <c r="I163" s="1">
        <f>'[1]Electricity and CHPs'!E37</f>
        <v>3.8210149534208169</v>
      </c>
      <c r="J163" s="1">
        <f>'[1]Electricity and CHPs'!F37</f>
        <v>4.2207934377488368</v>
      </c>
      <c r="K163" s="1">
        <f>'[1]Electricity and CHPs'!G37</f>
        <v>4.6623857063809417</v>
      </c>
    </row>
    <row r="164" spans="1:11" x14ac:dyDescent="0.35">
      <c r="A164" s="5" t="str">
        <f t="shared" si="93"/>
        <v>STEM</v>
      </c>
      <c r="B164" s="5" t="str">
        <f t="shared" si="94"/>
        <v>SPS1</v>
      </c>
      <c r="C164" s="5" t="str">
        <f t="shared" si="95"/>
        <v>CH</v>
      </c>
      <c r="D164" t="s">
        <v>86</v>
      </c>
      <c r="E164" t="str">
        <f>E163</f>
        <v>PJ/yr.</v>
      </c>
      <c r="F164" s="1">
        <f>'[1]Electricity and CHPs'!B38</f>
        <v>2.8396236857719668</v>
      </c>
      <c r="G164" s="1">
        <f>'[1]Electricity and CHPs'!C38</f>
        <v>3.2944550569698281</v>
      </c>
      <c r="H164" s="1">
        <f>'[1]Electricity and CHPs'!D38</f>
        <v>9.9666065603753466</v>
      </c>
      <c r="I164" s="1">
        <f>'[1]Electricity and CHPs'!E38</f>
        <v>10.737735925875244</v>
      </c>
      <c r="J164" s="1">
        <f>'[1]Electricity and CHPs'!F38</f>
        <v>26.581678840365736</v>
      </c>
      <c r="K164" s="1">
        <f>'[1]Electricity and CHPs'!G38</f>
        <v>29.362713259233413</v>
      </c>
    </row>
    <row r="165" spans="1:11" x14ac:dyDescent="0.35">
      <c r="A165" s="5" t="str">
        <f>A168</f>
        <v>STEM</v>
      </c>
      <c r="B165" s="5" t="str">
        <f>B168</f>
        <v>SPS1</v>
      </c>
      <c r="C165" s="5" t="str">
        <f>C168</f>
        <v>CH</v>
      </c>
      <c r="D165" t="s">
        <v>805</v>
      </c>
      <c r="E165" t="str">
        <f>E151</f>
        <v>PJ/yr.</v>
      </c>
      <c r="F165" s="1">
        <f>'[1]Electricity and CHPs'!B32</f>
        <v>0</v>
      </c>
      <c r="G165" s="1">
        <f>'[1]Electricity and CHPs'!C32</f>
        <v>0</v>
      </c>
      <c r="H165" s="1">
        <f>'[1]Electricity and CHPs'!D32</f>
        <v>0</v>
      </c>
      <c r="I165" s="1">
        <f>'[1]Electricity and CHPs'!E32</f>
        <v>0</v>
      </c>
      <c r="J165" s="1">
        <f>'[1]Electricity and CHPs'!F32</f>
        <v>8.3840257930779274E-2</v>
      </c>
      <c r="K165" s="1">
        <f>'[1]Electricity and CHPs'!G32</f>
        <v>3.2071040292876409</v>
      </c>
    </row>
    <row r="166" spans="1:11" x14ac:dyDescent="0.35">
      <c r="A166" s="5" t="str">
        <f t="shared" ref="A166" si="100">A165</f>
        <v>STEM</v>
      </c>
      <c r="B166" s="5" t="str">
        <f t="shared" ref="B166" si="101">B165</f>
        <v>SPS1</v>
      </c>
      <c r="C166" s="5" t="str">
        <f t="shared" ref="C166" si="102">C165</f>
        <v>CH</v>
      </c>
      <c r="D166" t="s">
        <v>90</v>
      </c>
      <c r="E166" t="str">
        <f>E152</f>
        <v>PJ/yr.</v>
      </c>
      <c r="F166" s="1">
        <f>F165</f>
        <v>0</v>
      </c>
      <c r="G166" s="1">
        <f t="shared" ref="G166:K166" si="103">G165</f>
        <v>0</v>
      </c>
      <c r="H166" s="1">
        <f t="shared" si="103"/>
        <v>0</v>
      </c>
      <c r="I166" s="1">
        <f t="shared" si="103"/>
        <v>0</v>
      </c>
      <c r="J166" s="1">
        <f t="shared" si="103"/>
        <v>8.3840257930779274E-2</v>
      </c>
      <c r="K166" s="1">
        <f t="shared" si="103"/>
        <v>3.2071040292876409</v>
      </c>
    </row>
    <row r="167" spans="1:11" x14ac:dyDescent="0.35">
      <c r="A167" s="5" t="str">
        <f>A164</f>
        <v>STEM</v>
      </c>
      <c r="B167" s="5" t="str">
        <f>B164</f>
        <v>SPS1</v>
      </c>
      <c r="C167" s="5" t="str">
        <f>C164</f>
        <v>CH</v>
      </c>
      <c r="D167" t="s">
        <v>806</v>
      </c>
      <c r="E167" t="str">
        <f>E164</f>
        <v>PJ/yr.</v>
      </c>
      <c r="F167" s="1">
        <f t="shared" ref="F167:K167" si="104">SUM(F168:F170)</f>
        <v>0</v>
      </c>
      <c r="G167" s="1">
        <f t="shared" si="104"/>
        <v>0</v>
      </c>
      <c r="H167" s="1">
        <f t="shared" si="104"/>
        <v>0</v>
      </c>
      <c r="I167" s="1">
        <f t="shared" si="104"/>
        <v>3.480545069178948E-3</v>
      </c>
      <c r="J167" s="1">
        <f t="shared" si="104"/>
        <v>0.60568346990181055</v>
      </c>
      <c r="K167" s="1">
        <f t="shared" si="104"/>
        <v>0.57381865244541297</v>
      </c>
    </row>
    <row r="168" spans="1:11" x14ac:dyDescent="0.35">
      <c r="A168" s="5" t="str">
        <f t="shared" si="93"/>
        <v>STEM</v>
      </c>
      <c r="B168" s="5" t="str">
        <f t="shared" si="94"/>
        <v>SPS1</v>
      </c>
      <c r="C168" s="5" t="str">
        <f t="shared" si="95"/>
        <v>CH</v>
      </c>
      <c r="D168" t="s">
        <v>77</v>
      </c>
      <c r="E168" t="str">
        <f>E85</f>
        <v>PJ/yr.</v>
      </c>
      <c r="F168" s="1">
        <f>'[1]Electricity and CHPs'!B30</f>
        <v>0</v>
      </c>
      <c r="G168" s="1">
        <f>'[1]Electricity and CHPs'!C30</f>
        <v>0</v>
      </c>
      <c r="H168" s="1">
        <f>'[1]Electricity and CHPs'!D30</f>
        <v>0</v>
      </c>
      <c r="I168" s="1">
        <f>'[1]Electricity and CHPs'!E30</f>
        <v>0</v>
      </c>
      <c r="J168" s="1">
        <f>'[1]Electricity and CHPs'!F30</f>
        <v>0.16527191344571698</v>
      </c>
      <c r="K168" s="1">
        <f>'[1]Electricity and CHPs'!G30</f>
        <v>0.16528799548007675</v>
      </c>
    </row>
    <row r="169" spans="1:11" x14ac:dyDescent="0.35">
      <c r="A169" s="5" t="str">
        <f>A165</f>
        <v>STEM</v>
      </c>
      <c r="B169" s="5" t="str">
        <f>B165</f>
        <v>SPS1</v>
      </c>
      <c r="C169" s="5" t="str">
        <f>C165</f>
        <v>CH</v>
      </c>
      <c r="D169" t="s">
        <v>78</v>
      </c>
      <c r="E169" t="str">
        <f>E134</f>
        <v>PJ/yr.</v>
      </c>
      <c r="F169" s="1">
        <f>'[1]Electricity and CHPs'!B46</f>
        <v>0</v>
      </c>
      <c r="G169" s="1">
        <f>'[1]Electricity and CHPs'!C46</f>
        <v>0</v>
      </c>
      <c r="H169" s="1">
        <f>'[1]Electricity and CHPs'!D46</f>
        <v>0</v>
      </c>
      <c r="I169" s="1">
        <f>'[1]Electricity and CHPs'!E46</f>
        <v>2.9755746356543902E-3</v>
      </c>
      <c r="J169" s="1">
        <f>'[1]Electricity and CHPs'!F46</f>
        <v>0.4137484541940003</v>
      </c>
      <c r="K169" s="1">
        <f>'[1]Electricity and CHPs'!G46</f>
        <v>0.39113432103859846</v>
      </c>
    </row>
    <row r="170" spans="1:11" x14ac:dyDescent="0.35">
      <c r="A170" s="5" t="str">
        <f t="shared" si="93"/>
        <v>STEM</v>
      </c>
      <c r="B170" s="5" t="str">
        <f t="shared" si="94"/>
        <v>SPS1</v>
      </c>
      <c r="C170" s="5" t="str">
        <f t="shared" si="95"/>
        <v>CH</v>
      </c>
      <c r="D170" t="s">
        <v>234</v>
      </c>
      <c r="E170" t="str">
        <f t="shared" ref="E170:E178" si="105">E156</f>
        <v>PJ/yr.</v>
      </c>
      <c r="F170" s="1">
        <f>'[1]Electricity and CHPs'!B57</f>
        <v>0</v>
      </c>
      <c r="G170" s="1">
        <f>'[1]Electricity and CHPs'!C57</f>
        <v>0</v>
      </c>
      <c r="H170" s="1">
        <f>'[1]Electricity and CHPs'!D57</f>
        <v>0</v>
      </c>
      <c r="I170" s="1">
        <f>'[1]Electricity and CHPs'!E57</f>
        <v>5.0497043352455771E-4</v>
      </c>
      <c r="J170" s="1">
        <f>'[1]Electricity and CHPs'!F57</f>
        <v>2.6663102262093213E-2</v>
      </c>
      <c r="K170" s="1">
        <f>'[1]Electricity and CHPs'!G57</f>
        <v>1.7396335926737675E-2</v>
      </c>
    </row>
    <row r="171" spans="1:11" x14ac:dyDescent="0.35">
      <c r="A171" s="5" t="str">
        <f t="shared" si="93"/>
        <v>STEM</v>
      </c>
      <c r="B171" s="5" t="str">
        <f t="shared" si="94"/>
        <v>SPS1</v>
      </c>
      <c r="C171" s="5" t="str">
        <f t="shared" si="95"/>
        <v>CH</v>
      </c>
      <c r="D171" t="s">
        <v>807</v>
      </c>
      <c r="E171" t="str">
        <f t="shared" si="105"/>
        <v>PJ/yr.</v>
      </c>
      <c r="F171" s="1">
        <f>SUM(F172:F178)</f>
        <v>0.10244209432813697</v>
      </c>
      <c r="G171" s="1">
        <f t="shared" ref="G171:K171" si="106">SUM(G172:G178)</f>
        <v>1.5691922181252243E-2</v>
      </c>
      <c r="H171" s="1">
        <f t="shared" si="106"/>
        <v>0.10237745747797775</v>
      </c>
      <c r="I171" s="1">
        <f t="shared" si="106"/>
        <v>9.1109954257923842E-2</v>
      </c>
      <c r="J171" s="1">
        <f t="shared" si="106"/>
        <v>0.92036873714849055</v>
      </c>
      <c r="K171" s="1">
        <f t="shared" si="106"/>
        <v>3.7578931682145869</v>
      </c>
    </row>
    <row r="172" spans="1:11" x14ac:dyDescent="0.35">
      <c r="A172" s="5" t="str">
        <f t="shared" si="93"/>
        <v>STEM</v>
      </c>
      <c r="B172" s="5" t="str">
        <f t="shared" si="94"/>
        <v>SPS1</v>
      </c>
      <c r="C172" s="5" t="str">
        <f t="shared" si="95"/>
        <v>CH</v>
      </c>
      <c r="D172" t="s">
        <v>79</v>
      </c>
      <c r="E172" t="str">
        <f t="shared" si="105"/>
        <v>PJ/yr.</v>
      </c>
      <c r="F172" s="1">
        <f>'[1]Electricity and CHPs'!B70</f>
        <v>9.4531388901035823E-2</v>
      </c>
      <c r="G172" s="1">
        <f>'[1]Electricity and CHPs'!C70</f>
        <v>8.6469821436489149E-3</v>
      </c>
      <c r="H172" s="1">
        <f>'[1]Electricity and CHPs'!D70</f>
        <v>9.4500223798924754E-2</v>
      </c>
      <c r="I172" s="1">
        <f>'[1]Electricity and CHPs'!E70</f>
        <v>1.2309206137218578E-3</v>
      </c>
      <c r="J172" s="1">
        <f>'[1]Electricity and CHPs'!F70</f>
        <v>9.4480211836220684E-2</v>
      </c>
      <c r="K172" s="1">
        <f>'[1]Electricity and CHPs'!G70</f>
        <v>9.4493698035869642E-2</v>
      </c>
    </row>
    <row r="173" spans="1:11" x14ac:dyDescent="0.35">
      <c r="A173" s="5" t="str">
        <f t="shared" si="93"/>
        <v>STEM</v>
      </c>
      <c r="B173" s="5" t="str">
        <f t="shared" si="94"/>
        <v>SPS1</v>
      </c>
      <c r="C173" s="5" t="str">
        <f t="shared" si="95"/>
        <v>CH</v>
      </c>
      <c r="D173" t="s">
        <v>80</v>
      </c>
      <c r="E173" t="str">
        <f t="shared" si="105"/>
        <v>PJ/yr.</v>
      </c>
      <c r="F173" s="1">
        <f>'[1]Electricity and CHPs'!B71</f>
        <v>2.1663459236617834E-3</v>
      </c>
      <c r="G173" s="1">
        <f>'[1]Electricity and CHPs'!C71</f>
        <v>1.7276063413911771E-3</v>
      </c>
      <c r="H173" s="1">
        <f>'[1]Electricity and CHPs'!D71</f>
        <v>2.1636897209801392E-3</v>
      </c>
      <c r="I173" s="1">
        <f>'[1]Electricity and CHPs'!E71</f>
        <v>1.9089215188635841E-3</v>
      </c>
      <c r="J173" s="1">
        <f>'[1]Electricity and CHPs'!F71</f>
        <v>0.44410081072884644</v>
      </c>
      <c r="K173" s="1">
        <f>'[1]Electricity and CHPs'!G71</f>
        <v>2.88315498200887</v>
      </c>
    </row>
    <row r="174" spans="1:11" x14ac:dyDescent="0.35">
      <c r="A174" s="5" t="str">
        <f t="shared" si="93"/>
        <v>STEM</v>
      </c>
      <c r="B174" s="5" t="str">
        <f t="shared" si="94"/>
        <v>SPS1</v>
      </c>
      <c r="C174" s="5" t="str">
        <f t="shared" si="95"/>
        <v>CH</v>
      </c>
      <c r="D174" t="s">
        <v>81</v>
      </c>
      <c r="E174" t="str">
        <f t="shared" si="105"/>
        <v>PJ/yr.</v>
      </c>
      <c r="F174" s="1">
        <f>'[1]Electricity and CHPs'!B72</f>
        <v>1.9569015821942911E-3</v>
      </c>
      <c r="G174" s="1">
        <f>'[1]Electricity and CHPs'!C72</f>
        <v>1.572851164714189E-3</v>
      </c>
      <c r="H174" s="1">
        <f>'[1]Electricity and CHPs'!D72</f>
        <v>1.9515578014451921E-3</v>
      </c>
      <c r="I174" s="1">
        <f>'[1]Electricity and CHPs'!E72</f>
        <v>1.8053463265202279E-3</v>
      </c>
      <c r="J174" s="1">
        <f>'[1]Electricity and CHPs'!F72</f>
        <v>9.9542570003764499E-3</v>
      </c>
      <c r="K174" s="1">
        <f>'[1]Electricity and CHPs'!G72</f>
        <v>0.10584914149320672</v>
      </c>
    </row>
    <row r="175" spans="1:11" x14ac:dyDescent="0.35">
      <c r="A175" s="5" t="str">
        <f t="shared" si="93"/>
        <v>STEM</v>
      </c>
      <c r="B175" s="5" t="str">
        <f t="shared" si="94"/>
        <v>SPS1</v>
      </c>
      <c r="C175" s="5" t="str">
        <f t="shared" si="95"/>
        <v>CH</v>
      </c>
      <c r="D175" t="s">
        <v>82</v>
      </c>
      <c r="E175" t="str">
        <f t="shared" si="105"/>
        <v>PJ/yr.</v>
      </c>
      <c r="F175" s="1">
        <f>'[1]Electricity and CHPs'!B73</f>
        <v>6.2791337135903783E-4</v>
      </c>
      <c r="G175" s="1">
        <f>'[1]Electricity and CHPs'!C73</f>
        <v>6.2073372537942259E-4</v>
      </c>
      <c r="H175" s="1">
        <f>'[1]Electricity and CHPs'!D73</f>
        <v>6.2347385560357132E-4</v>
      </c>
      <c r="I175" s="1">
        <f>'[1]Electricity and CHPs'!E73</f>
        <v>3.8205449333328624E-2</v>
      </c>
      <c r="J175" s="1">
        <f>'[1]Electricity and CHPs'!F73</f>
        <v>0.31124888504413778</v>
      </c>
      <c r="K175" s="1">
        <f>'[1]Electricity and CHPs'!G73</f>
        <v>0.63737692583814898</v>
      </c>
    </row>
    <row r="176" spans="1:11" x14ac:dyDescent="0.35">
      <c r="A176" s="5" t="str">
        <f t="shared" si="93"/>
        <v>STEM</v>
      </c>
      <c r="B176" s="5" t="str">
        <f t="shared" si="94"/>
        <v>SPS1</v>
      </c>
      <c r="C176" s="5" t="str">
        <f t="shared" si="95"/>
        <v>CH</v>
      </c>
      <c r="D176" t="s">
        <v>1853</v>
      </c>
      <c r="E176" t="str">
        <f t="shared" si="105"/>
        <v>PJ/yr.</v>
      </c>
      <c r="F176" s="1">
        <f>'[1]Electricity and CHPs'!B74</f>
        <v>1.2643082321672689E-3</v>
      </c>
      <c r="G176" s="1">
        <f>'[1]Electricity and CHPs'!C74</f>
        <v>1.2500108874985575E-3</v>
      </c>
      <c r="H176" s="1">
        <f>'[1]Electricity and CHPs'!D74</f>
        <v>1.2560872188291819E-3</v>
      </c>
      <c r="I176" s="1">
        <f>'[1]Electricity and CHPs'!E74</f>
        <v>1.7792330627497931E-2</v>
      </c>
      <c r="J176" s="1">
        <f>'[1]Electricity and CHPs'!F74</f>
        <v>2.2495959204705141E-2</v>
      </c>
      <c r="K176" s="1">
        <f>'[1]Electricity and CHPs'!G74</f>
        <v>1.3851834843792023E-2</v>
      </c>
    </row>
    <row r="177" spans="1:11" x14ac:dyDescent="0.35">
      <c r="A177" s="5" t="str">
        <f t="shared" si="93"/>
        <v>STEM</v>
      </c>
      <c r="B177" s="5" t="str">
        <f t="shared" si="94"/>
        <v>SPS1</v>
      </c>
      <c r="C177" s="5" t="str">
        <f t="shared" si="95"/>
        <v>CH</v>
      </c>
      <c r="D177" t="s">
        <v>83</v>
      </c>
      <c r="E177" t="str">
        <f t="shared" si="105"/>
        <v>PJ/yr.</v>
      </c>
      <c r="F177" s="1">
        <f>'[1]Electricity and CHPs'!B75</f>
        <v>1.2645713027454779E-3</v>
      </c>
      <c r="G177" s="1">
        <f>'[1]Electricity and CHPs'!C75</f>
        <v>1.2502532319263455E-3</v>
      </c>
      <c r="H177" s="1">
        <f>'[1]Electricity and CHPs'!D75</f>
        <v>1.2561653441815132E-3</v>
      </c>
      <c r="I177" s="1">
        <f>'[1]Electricity and CHPs'!E75</f>
        <v>1.7856428711636972E-2</v>
      </c>
      <c r="J177" s="1">
        <f>'[1]Electricity and CHPs'!F75</f>
        <v>2.3109784484055561E-2</v>
      </c>
      <c r="K177" s="1">
        <f>'[1]Electricity and CHPs'!G75</f>
        <v>1.3948017063237379E-2</v>
      </c>
    </row>
    <row r="178" spans="1:11" x14ac:dyDescent="0.35">
      <c r="A178" s="5" t="str">
        <f t="shared" si="93"/>
        <v>STEM</v>
      </c>
      <c r="B178" s="5" t="str">
        <f t="shared" si="94"/>
        <v>SPS1</v>
      </c>
      <c r="C178" s="5" t="str">
        <f t="shared" si="95"/>
        <v>CH</v>
      </c>
      <c r="D178" t="s">
        <v>87</v>
      </c>
      <c r="E178" t="str">
        <f t="shared" si="105"/>
        <v>PJ/yr.</v>
      </c>
      <c r="F178" s="1">
        <f>'[1]Electricity and CHPs'!B76</f>
        <v>6.3066501497330881E-4</v>
      </c>
      <c r="G178" s="1">
        <f>'[1]Electricity and CHPs'!C76</f>
        <v>6.2348468669363695E-4</v>
      </c>
      <c r="H178" s="1">
        <f>'[1]Electricity and CHPs'!D76</f>
        <v>6.2625973801339226E-4</v>
      </c>
      <c r="I178" s="1">
        <f>'[1]Electricity and CHPs'!E76</f>
        <v>1.2310557126354656E-2</v>
      </c>
      <c r="J178" s="1">
        <f>'[1]Electricity and CHPs'!F76</f>
        <v>1.497882885014846E-2</v>
      </c>
      <c r="K178" s="1">
        <f>'[1]Electricity and CHPs'!G76</f>
        <v>9.2185689314622631E-3</v>
      </c>
    </row>
    <row r="179" spans="1:11" x14ac:dyDescent="0.35">
      <c r="A179" s="9" t="str">
        <f t="shared" si="93"/>
        <v>STEM</v>
      </c>
      <c r="B179" s="9" t="str">
        <f t="shared" si="94"/>
        <v>SPS1</v>
      </c>
      <c r="C179" s="2" t="str">
        <f t="shared" si="95"/>
        <v>CH</v>
      </c>
      <c r="D179" s="2" t="s">
        <v>152</v>
      </c>
      <c r="E179" s="2" t="str">
        <f>E167</f>
        <v>PJ/yr.</v>
      </c>
      <c r="F179" s="3">
        <f>SUM(F180,F231)</f>
        <v>29.588502255683693</v>
      </c>
      <c r="G179" s="3">
        <f t="shared" ref="G179:K179" si="107">SUM(G180,G231)</f>
        <v>33.777265582759064</v>
      </c>
      <c r="H179" s="3">
        <f t="shared" si="107"/>
        <v>31.491223383826217</v>
      </c>
      <c r="I179" s="3">
        <f t="shared" si="107"/>
        <v>36.448272960953041</v>
      </c>
      <c r="J179" s="3">
        <f t="shared" si="107"/>
        <v>37.719050514374786</v>
      </c>
      <c r="K179" s="3">
        <f t="shared" si="107"/>
        <v>40.883748321830907</v>
      </c>
    </row>
    <row r="180" spans="1:11" x14ac:dyDescent="0.35">
      <c r="A180" s="5" t="s">
        <v>5</v>
      </c>
      <c r="B180" s="5" t="s">
        <v>6</v>
      </c>
      <c r="C180" s="5" t="s">
        <v>7</v>
      </c>
      <c r="D180" t="s">
        <v>808</v>
      </c>
      <c r="E180" t="str">
        <f>E168</f>
        <v>PJ/yr.</v>
      </c>
      <c r="F180" s="1">
        <f t="shared" ref="F180:K180" si="108">F181+F208</f>
        <v>23.057991570813304</v>
      </c>
      <c r="G180" s="1">
        <f t="shared" si="108"/>
        <v>25.414275562437691</v>
      </c>
      <c r="H180" s="1">
        <f t="shared" si="108"/>
        <v>23.552917091589578</v>
      </c>
      <c r="I180" s="1">
        <f t="shared" si="108"/>
        <v>26.576024112098484</v>
      </c>
      <c r="J180" s="1">
        <f t="shared" si="108"/>
        <v>26.56239012372955</v>
      </c>
      <c r="K180" s="1">
        <f t="shared" si="108"/>
        <v>27.43837868674068</v>
      </c>
    </row>
    <row r="181" spans="1:11" x14ac:dyDescent="0.35">
      <c r="A181" s="5" t="s">
        <v>5</v>
      </c>
      <c r="B181" s="5" t="s">
        <v>6</v>
      </c>
      <c r="C181" s="5" t="s">
        <v>7</v>
      </c>
      <c r="D181" t="s">
        <v>823</v>
      </c>
      <c r="E181" t="str">
        <f>E165</f>
        <v>PJ/yr.</v>
      </c>
      <c r="F181" s="1">
        <f t="shared" ref="F181:K181" si="109">SUM(F183,F187,F188,F196,F197,F205,F207)</f>
        <v>17.453279531560558</v>
      </c>
      <c r="G181" s="1">
        <f t="shared" si="109"/>
        <v>13.300777338236092</v>
      </c>
      <c r="H181" s="1">
        <f t="shared" si="109"/>
        <v>13.527018102958934</v>
      </c>
      <c r="I181" s="1">
        <f t="shared" si="109"/>
        <v>15.586564861000507</v>
      </c>
      <c r="J181" s="1">
        <f t="shared" si="109"/>
        <v>15.544107538532547</v>
      </c>
      <c r="K181" s="1">
        <f t="shared" si="109"/>
        <v>15.881726469049219</v>
      </c>
    </row>
    <row r="182" spans="1:11" x14ac:dyDescent="0.35">
      <c r="A182" s="5" t="s">
        <v>5</v>
      </c>
      <c r="B182" s="5" t="s">
        <v>6</v>
      </c>
      <c r="C182" s="5" t="s">
        <v>7</v>
      </c>
      <c r="D182" t="s">
        <v>809</v>
      </c>
      <c r="E182" t="s">
        <v>8</v>
      </c>
      <c r="F182" s="1">
        <f>F183</f>
        <v>9.2726417512111192E-3</v>
      </c>
      <c r="G182" s="1">
        <f t="shared" ref="G182:K182" si="110">G183</f>
        <v>6.2104682618465415E-5</v>
      </c>
      <c r="H182" s="1">
        <f t="shared" si="110"/>
        <v>2.8882171866550089E-3</v>
      </c>
      <c r="I182" s="1">
        <f t="shared" si="110"/>
        <v>8.1060114991374384E-4</v>
      </c>
      <c r="J182" s="1">
        <f t="shared" si="110"/>
        <v>2.0845614984769819E-3</v>
      </c>
      <c r="K182" s="1">
        <f t="shared" si="110"/>
        <v>4.8950329724639801E-5</v>
      </c>
    </row>
    <row r="183" spans="1:11" x14ac:dyDescent="0.35">
      <c r="A183" s="5" t="s">
        <v>5</v>
      </c>
      <c r="B183" s="5" t="s">
        <v>6</v>
      </c>
      <c r="C183" s="5" t="s">
        <v>7</v>
      </c>
      <c r="D183" t="s">
        <v>229</v>
      </c>
      <c r="E183" t="s">
        <v>8</v>
      </c>
      <c r="F183" s="1">
        <f>'[1]Electricity and CHPs'!B$94</f>
        <v>9.2726417512111192E-3</v>
      </c>
      <c r="G183" s="1">
        <f>'[1]Electricity and CHPs'!C$94</f>
        <v>6.2104682618465415E-5</v>
      </c>
      <c r="H183" s="1">
        <f>'[1]Electricity and CHPs'!D$94</f>
        <v>2.8882171866550089E-3</v>
      </c>
      <c r="I183" s="1">
        <f>'[1]Electricity and CHPs'!E$94</f>
        <v>8.1060114991374384E-4</v>
      </c>
      <c r="J183" s="1">
        <f>'[1]Electricity and CHPs'!F$94</f>
        <v>2.0845614984769819E-3</v>
      </c>
      <c r="K183" s="1">
        <f>'[1]Electricity and CHPs'!G$94</f>
        <v>4.8950329724639801E-5</v>
      </c>
    </row>
    <row r="184" spans="1:11" x14ac:dyDescent="0.35">
      <c r="A184" s="5" t="s">
        <v>5</v>
      </c>
      <c r="B184" s="5" t="s">
        <v>6</v>
      </c>
      <c r="C184" s="5" t="s">
        <v>7</v>
      </c>
      <c r="D184" t="s">
        <v>517</v>
      </c>
      <c r="E184" t="s">
        <v>8</v>
      </c>
      <c r="F184" s="1">
        <f>F183-F185</f>
        <v>9.2726417512111192E-3</v>
      </c>
      <c r="G184" s="1">
        <f t="shared" ref="G184:K184" si="111">G183-G185</f>
        <v>6.2104682618465415E-5</v>
      </c>
      <c r="H184" s="1">
        <f t="shared" si="111"/>
        <v>2.8882171866550089E-3</v>
      </c>
      <c r="I184" s="1">
        <f t="shared" si="111"/>
        <v>8.1060114991374384E-4</v>
      </c>
      <c r="J184" s="1">
        <f t="shared" si="111"/>
        <v>2.0845614984769819E-3</v>
      </c>
      <c r="K184" s="1">
        <f t="shared" si="111"/>
        <v>4.8950329724639801E-5</v>
      </c>
    </row>
    <row r="185" spans="1:11" x14ac:dyDescent="0.35">
      <c r="A185" s="5" t="s">
        <v>5</v>
      </c>
      <c r="B185" s="5" t="s">
        <v>6</v>
      </c>
      <c r="C185" s="5" t="s">
        <v>7</v>
      </c>
      <c r="D185" t="s">
        <v>541</v>
      </c>
      <c r="E185" t="s">
        <v>8</v>
      </c>
      <c r="F185" s="1">
        <f t="shared" ref="F185:K185" si="112">F183*IFERROR(F78/F74,0)</f>
        <v>0</v>
      </c>
      <c r="G185" s="1">
        <f t="shared" si="112"/>
        <v>0</v>
      </c>
      <c r="H185" s="1">
        <f t="shared" si="112"/>
        <v>0</v>
      </c>
      <c r="I185" s="1">
        <f t="shared" si="112"/>
        <v>0</v>
      </c>
      <c r="J185" s="1">
        <f t="shared" si="112"/>
        <v>0</v>
      </c>
      <c r="K185" s="1">
        <f t="shared" si="112"/>
        <v>0</v>
      </c>
    </row>
    <row r="186" spans="1:11" x14ac:dyDescent="0.35">
      <c r="A186" s="5" t="s">
        <v>5</v>
      </c>
      <c r="B186" s="5" t="s">
        <v>6</v>
      </c>
      <c r="C186" s="5" t="s">
        <v>7</v>
      </c>
      <c r="D186" t="s">
        <v>810</v>
      </c>
      <c r="E186" t="s">
        <v>8</v>
      </c>
      <c r="F186" s="1">
        <f>SUM(F187:F188)</f>
        <v>1.8035554012585471</v>
      </c>
      <c r="G186" s="1">
        <f t="shared" ref="G186:K186" si="113">SUM(G187:G188)</f>
        <v>2.181620415307501E-4</v>
      </c>
      <c r="H186" s="1">
        <f t="shared" si="113"/>
        <v>9.7197637868295982E-4</v>
      </c>
      <c r="I186" s="1">
        <f t="shared" si="113"/>
        <v>0</v>
      </c>
      <c r="J186" s="1">
        <f t="shared" si="113"/>
        <v>0</v>
      </c>
      <c r="K186" s="1">
        <f t="shared" si="113"/>
        <v>0</v>
      </c>
    </row>
    <row r="187" spans="1:11" x14ac:dyDescent="0.35">
      <c r="A187" s="5" t="s">
        <v>5</v>
      </c>
      <c r="B187" s="5" t="s">
        <v>6</v>
      </c>
      <c r="C187" s="5" t="s">
        <v>7</v>
      </c>
      <c r="D187" t="s">
        <v>153</v>
      </c>
      <c r="E187" t="s">
        <v>8</v>
      </c>
      <c r="F187" s="1">
        <f>'[1]Electricity and CHPs'!B$91</f>
        <v>1.8035554012585471</v>
      </c>
      <c r="G187" s="1">
        <f>'[1]Electricity and CHPs'!C$91</f>
        <v>2.181620415307501E-4</v>
      </c>
      <c r="H187" s="1">
        <f>'[1]Electricity and CHPs'!D$91</f>
        <v>9.7197637868295982E-4</v>
      </c>
      <c r="I187" s="1">
        <f>'[1]Electricity and CHPs'!E$91</f>
        <v>0</v>
      </c>
      <c r="J187" s="1">
        <f>'[1]Electricity and CHPs'!F$91</f>
        <v>0</v>
      </c>
      <c r="K187" s="1">
        <f>'[1]Electricity and CHPs'!G$91</f>
        <v>0</v>
      </c>
    </row>
    <row r="188" spans="1:11" x14ac:dyDescent="0.35">
      <c r="A188" s="5" t="s">
        <v>5</v>
      </c>
      <c r="B188" s="5" t="s">
        <v>6</v>
      </c>
      <c r="C188" s="5" t="s">
        <v>7</v>
      </c>
      <c r="D188" t="s">
        <v>154</v>
      </c>
      <c r="E188" t="s">
        <v>8</v>
      </c>
      <c r="F188" s="1">
        <f>'[1]Electricity and CHPs'!B$95</f>
        <v>0</v>
      </c>
      <c r="G188" s="1">
        <f>'[1]Electricity and CHPs'!C$95</f>
        <v>0</v>
      </c>
      <c r="H188" s="1">
        <f>'[1]Electricity and CHPs'!D$95</f>
        <v>0</v>
      </c>
      <c r="I188" s="1">
        <f>'[1]Electricity and CHPs'!E$95</f>
        <v>0</v>
      </c>
      <c r="J188" s="1">
        <f>'[1]Electricity and CHPs'!F$95</f>
        <v>0</v>
      </c>
      <c r="K188" s="1">
        <f>'[1]Electricity and CHPs'!G$95</f>
        <v>0</v>
      </c>
    </row>
    <row r="189" spans="1:11" x14ac:dyDescent="0.35">
      <c r="A189" s="5"/>
      <c r="B189" s="5" t="str">
        <f>B188</f>
        <v>SPS1</v>
      </c>
      <c r="C189" s="5" t="str">
        <f>C188</f>
        <v>CH</v>
      </c>
      <c r="D189" t="s">
        <v>811</v>
      </c>
      <c r="E189" t="s">
        <v>8</v>
      </c>
      <c r="F189" s="1">
        <f>SUM(F190:F191)</f>
        <v>1.7580711320168987</v>
      </c>
      <c r="G189" s="1">
        <f t="shared" ref="G189:K189" si="114">SUM(G190:G191)</f>
        <v>2.1336136344748643E-4</v>
      </c>
      <c r="H189" s="1">
        <f t="shared" si="114"/>
        <v>9.2823898177098413E-4</v>
      </c>
      <c r="I189" s="1">
        <f t="shared" si="114"/>
        <v>0</v>
      </c>
      <c r="J189" s="1">
        <f t="shared" si="114"/>
        <v>0</v>
      </c>
      <c r="K189" s="1">
        <f t="shared" si="114"/>
        <v>0</v>
      </c>
    </row>
    <row r="190" spans="1:11" x14ac:dyDescent="0.35">
      <c r="A190" s="5" t="s">
        <v>5</v>
      </c>
      <c r="B190" s="5" t="s">
        <v>6</v>
      </c>
      <c r="C190" s="5" t="s">
        <v>7</v>
      </c>
      <c r="D190" t="s">
        <v>567</v>
      </c>
      <c r="E190" t="s">
        <v>8</v>
      </c>
      <c r="F190" s="1">
        <f>F187-F193</f>
        <v>1.7580711320168987</v>
      </c>
      <c r="G190" s="1">
        <f t="shared" ref="G190:K190" si="115">G187-G193</f>
        <v>2.1336136344748643E-4</v>
      </c>
      <c r="H190" s="1">
        <f t="shared" si="115"/>
        <v>9.2823898177098413E-4</v>
      </c>
      <c r="I190" s="1">
        <f t="shared" si="115"/>
        <v>0</v>
      </c>
      <c r="J190" s="1">
        <f t="shared" si="115"/>
        <v>0</v>
      </c>
      <c r="K190" s="1">
        <f t="shared" si="115"/>
        <v>0</v>
      </c>
    </row>
    <row r="191" spans="1:11" x14ac:dyDescent="0.35">
      <c r="A191" s="5" t="s">
        <v>5</v>
      </c>
      <c r="B191" s="5" t="s">
        <v>6</v>
      </c>
      <c r="C191" s="5" t="s">
        <v>7</v>
      </c>
      <c r="D191" t="s">
        <v>568</v>
      </c>
      <c r="E191" t="s">
        <v>8</v>
      </c>
      <c r="F191" s="1">
        <f t="shared" ref="F191:K191" si="116">F188-F194</f>
        <v>0</v>
      </c>
      <c r="G191" s="1">
        <f t="shared" si="116"/>
        <v>0</v>
      </c>
      <c r="H191" s="1">
        <f t="shared" si="116"/>
        <v>0</v>
      </c>
      <c r="I191" s="1">
        <f t="shared" si="116"/>
        <v>0</v>
      </c>
      <c r="J191" s="1">
        <f t="shared" si="116"/>
        <v>0</v>
      </c>
      <c r="K191" s="1">
        <f t="shared" si="116"/>
        <v>0</v>
      </c>
    </row>
    <row r="192" spans="1:11" x14ac:dyDescent="0.35">
      <c r="A192" s="5"/>
      <c r="B192" s="5" t="s">
        <v>6</v>
      </c>
      <c r="C192" s="5" t="s">
        <v>7</v>
      </c>
      <c r="D192" t="s">
        <v>812</v>
      </c>
      <c r="E192" t="s">
        <v>8</v>
      </c>
      <c r="F192" s="1">
        <f>SUM(F193:F194)</f>
        <v>4.5484269241648417E-2</v>
      </c>
      <c r="G192" s="1">
        <f t="shared" ref="G192:K192" si="117">SUM(G193:G194)</f>
        <v>4.8006780832636804E-6</v>
      </c>
      <c r="H192" s="1">
        <f t="shared" si="117"/>
        <v>4.3737396911975663E-5</v>
      </c>
      <c r="I192" s="1">
        <f t="shared" si="117"/>
        <v>0</v>
      </c>
      <c r="J192" s="1">
        <f t="shared" si="117"/>
        <v>0</v>
      </c>
      <c r="K192" s="1">
        <f t="shared" si="117"/>
        <v>0</v>
      </c>
    </row>
    <row r="193" spans="1:11" x14ac:dyDescent="0.35">
      <c r="A193" s="5" t="s">
        <v>5</v>
      </c>
      <c r="B193" s="5" t="s">
        <v>6</v>
      </c>
      <c r="C193" s="5" t="s">
        <v>7</v>
      </c>
      <c r="D193" t="s">
        <v>628</v>
      </c>
      <c r="E193" t="s">
        <v>8</v>
      </c>
      <c r="F193" s="1">
        <f t="shared" ref="F193:K194" si="118">F187*IFERROR(F116/F84,0)</f>
        <v>4.5484269241648417E-2</v>
      </c>
      <c r="G193" s="1">
        <f t="shared" si="118"/>
        <v>4.8006780832636804E-6</v>
      </c>
      <c r="H193" s="1">
        <f t="shared" si="118"/>
        <v>4.3737396911975663E-5</v>
      </c>
      <c r="I193" s="1">
        <f t="shared" si="118"/>
        <v>0</v>
      </c>
      <c r="J193" s="1">
        <f t="shared" si="118"/>
        <v>0</v>
      </c>
      <c r="K193" s="1">
        <f t="shared" si="118"/>
        <v>0</v>
      </c>
    </row>
    <row r="194" spans="1:11" x14ac:dyDescent="0.35">
      <c r="A194" s="5" t="s">
        <v>5</v>
      </c>
      <c r="B194" s="5" t="s">
        <v>6</v>
      </c>
      <c r="C194" s="5" t="s">
        <v>7</v>
      </c>
      <c r="D194" t="s">
        <v>629</v>
      </c>
      <c r="E194" t="s">
        <v>8</v>
      </c>
      <c r="F194" s="1">
        <f t="shared" si="118"/>
        <v>0</v>
      </c>
      <c r="G194" s="1">
        <f t="shared" si="118"/>
        <v>0</v>
      </c>
      <c r="H194" s="1">
        <f t="shared" si="118"/>
        <v>0</v>
      </c>
      <c r="I194" s="1">
        <f t="shared" si="118"/>
        <v>0</v>
      </c>
      <c r="J194" s="1">
        <f t="shared" si="118"/>
        <v>0</v>
      </c>
      <c r="K194" s="1">
        <f t="shared" si="118"/>
        <v>0</v>
      </c>
    </row>
    <row r="195" spans="1:11" x14ac:dyDescent="0.35">
      <c r="A195" s="5" t="s">
        <v>5</v>
      </c>
      <c r="B195" s="5" t="s">
        <v>6</v>
      </c>
      <c r="C195" s="5" t="s">
        <v>7</v>
      </c>
      <c r="D195" t="s">
        <v>813</v>
      </c>
      <c r="E195" t="s">
        <v>8</v>
      </c>
      <c r="F195" s="1">
        <f>SUM(F196:F197)</f>
        <v>14.461270338518023</v>
      </c>
      <c r="G195" s="1">
        <f t="shared" ref="G195:K195" si="119">SUM(G196:G197)</f>
        <v>13.051651043156513</v>
      </c>
      <c r="H195" s="1">
        <f t="shared" si="119"/>
        <v>13.178021996597375</v>
      </c>
      <c r="I195" s="1">
        <f t="shared" si="119"/>
        <v>12.779638516520453</v>
      </c>
      <c r="J195" s="1">
        <f t="shared" si="119"/>
        <v>11.840666597870733</v>
      </c>
      <c r="K195" s="1">
        <f t="shared" si="119"/>
        <v>10.865295072398737</v>
      </c>
    </row>
    <row r="196" spans="1:11" x14ac:dyDescent="0.35">
      <c r="A196" s="5" t="s">
        <v>5</v>
      </c>
      <c r="B196" s="5" t="s">
        <v>6</v>
      </c>
      <c r="C196" s="5" t="s">
        <v>7</v>
      </c>
      <c r="D196" t="s">
        <v>155</v>
      </c>
      <c r="E196" t="s">
        <v>8</v>
      </c>
      <c r="F196" s="1">
        <f>'[1]Electricity and CHPs'!B$93-F197</f>
        <v>14.461270338518023</v>
      </c>
      <c r="G196" s="1">
        <f>'[1]Electricity and CHPs'!C$93-G197</f>
        <v>13.051651043156513</v>
      </c>
      <c r="H196" s="1">
        <f>'[1]Electricity and CHPs'!D$93-H197</f>
        <v>13.178021996597375</v>
      </c>
      <c r="I196" s="1">
        <f>'[1]Electricity and CHPs'!E$93-I197</f>
        <v>12.779638516520453</v>
      </c>
      <c r="J196" s="1">
        <f>'[1]Electricity and CHPs'!F$93-J197</f>
        <v>7.8028866641866976</v>
      </c>
      <c r="K196" s="1">
        <f>'[1]Electricity and CHPs'!G$93-K197</f>
        <v>4.4961090341739558</v>
      </c>
    </row>
    <row r="197" spans="1:11" x14ac:dyDescent="0.35">
      <c r="A197" s="5" t="s">
        <v>5</v>
      </c>
      <c r="B197" s="5" t="s">
        <v>6</v>
      </c>
      <c r="C197" s="5" t="s">
        <v>7</v>
      </c>
      <c r="D197" t="s">
        <v>156</v>
      </c>
      <c r="E197" t="s">
        <v>8</v>
      </c>
      <c r="F197" s="1" cm="1">
        <f t="array" ref="F197">SUMPRODUCT(("CHPWSTCCS"=[1]OUT_Electricity_CHP!$B$1:$B$10000)*1,([1]OUT_Electricity_CHP!$C$1:$C$10000="Var_Fout")*1,([1]OUT_Electricity_CHP!$D$1:$D$10000="LTH")*1,[1]OUT_Electricity_CHP!E$1:E$10000)</f>
        <v>0</v>
      </c>
      <c r="G197" s="1" cm="1">
        <f t="array" ref="G197">SUMPRODUCT(("CHPWSTCCS"=[1]OUT_Electricity_CHP!$B$1:$B$10000)*1,([1]OUT_Electricity_CHP!$C$1:$C$10000="Var_Fout")*1,([1]OUT_Electricity_CHP!$D$1:$D$10000="LTH")*1,[1]OUT_Electricity_CHP!F$1:F$10000)</f>
        <v>0</v>
      </c>
      <c r="H197" s="1" cm="1">
        <f t="array" ref="H197">SUMPRODUCT(("CHPWSTCCS"=[1]OUT_Electricity_CHP!$B$1:$B$10000)*1,([1]OUT_Electricity_CHP!$C$1:$C$10000="Var_Fout")*1,([1]OUT_Electricity_CHP!$D$1:$D$10000="LTH")*1,[1]OUT_Electricity_CHP!G$1:G$10000)</f>
        <v>0</v>
      </c>
      <c r="I197" s="1" cm="1">
        <f t="array" ref="I197">SUMPRODUCT(("CHPWSTCCS"=[1]OUT_Electricity_CHP!$B$1:$B$10000)*1,([1]OUT_Electricity_CHP!$C$1:$C$10000="Var_Fout")*1,([1]OUT_Electricity_CHP!$D$1:$D$10000="LTH")*1,[1]OUT_Electricity_CHP!H$1:H$10000)</f>
        <v>0</v>
      </c>
      <c r="J197" s="1" cm="1">
        <f t="array" ref="J197">SUMPRODUCT(("CHPWSTCCS"=[1]OUT_Electricity_CHP!$B$1:$B$10000)*1,([1]OUT_Electricity_CHP!$C$1:$C$10000="Var_Fout")*1,([1]OUT_Electricity_CHP!$D$1:$D$10000="LTH")*1,[1]OUT_Electricity_CHP!I$1:I$10000)</f>
        <v>4.0377799336840354</v>
      </c>
      <c r="K197" s="1" cm="1">
        <f t="array" ref="K197">SUMPRODUCT(("CHPWSTCCS"=[1]OUT_Electricity_CHP!$B$1:$B$10000)*1,([1]OUT_Electricity_CHP!$C$1:$C$10000="Var_Fout")*1,([1]OUT_Electricity_CHP!$D$1:$D$10000="LTH")*1,[1]OUT_Electricity_CHP!J$1:J$10000)</f>
        <v>6.3691860382247816</v>
      </c>
    </row>
    <row r="198" spans="1:11" x14ac:dyDescent="0.35">
      <c r="A198" s="5" t="s">
        <v>5</v>
      </c>
      <c r="B198" s="5" t="s">
        <v>6</v>
      </c>
      <c r="C198" s="5" t="s">
        <v>7</v>
      </c>
      <c r="D198" t="s">
        <v>814</v>
      </c>
      <c r="E198" t="s">
        <v>8</v>
      </c>
      <c r="F198" s="1">
        <f>SUM(F199:F200)</f>
        <v>7.2306351692590107</v>
      </c>
      <c r="G198" s="1">
        <f t="shared" ref="G198:K198" si="120">SUM(G199:G200)</f>
        <v>6.5258255215782563</v>
      </c>
      <c r="H198" s="1">
        <f t="shared" si="120"/>
        <v>6.5890109982986873</v>
      </c>
      <c r="I198" s="1">
        <f t="shared" si="120"/>
        <v>6.3898192582602285</v>
      </c>
      <c r="J198" s="1">
        <f t="shared" si="120"/>
        <v>5.9203332989353665</v>
      </c>
      <c r="K198" s="1">
        <f t="shared" si="120"/>
        <v>5.4326475361993687</v>
      </c>
    </row>
    <row r="199" spans="1:11" x14ac:dyDescent="0.35">
      <c r="A199" s="5" t="s">
        <v>5</v>
      </c>
      <c r="B199" s="5" t="s">
        <v>6</v>
      </c>
      <c r="C199" s="5" t="s">
        <v>7</v>
      </c>
      <c r="D199" t="s">
        <v>157</v>
      </c>
      <c r="E199" t="s">
        <v>8</v>
      </c>
      <c r="F199" s="1">
        <f t="shared" ref="F199:K199" si="121">F196*F138/F131</f>
        <v>7.2306351692590107</v>
      </c>
      <c r="G199" s="1">
        <f t="shared" si="121"/>
        <v>6.5258255215782563</v>
      </c>
      <c r="H199" s="1">
        <f t="shared" si="121"/>
        <v>6.5890109982986873</v>
      </c>
      <c r="I199" s="1">
        <f t="shared" si="121"/>
        <v>6.3898192582602285</v>
      </c>
      <c r="J199" s="1">
        <f t="shared" si="121"/>
        <v>3.9014433320933488</v>
      </c>
      <c r="K199" s="1">
        <f t="shared" si="121"/>
        <v>2.2480545170869779</v>
      </c>
    </row>
    <row r="200" spans="1:11" x14ac:dyDescent="0.35">
      <c r="A200" s="5" t="s">
        <v>5</v>
      </c>
      <c r="B200" s="5" t="s">
        <v>6</v>
      </c>
      <c r="C200" s="5" t="s">
        <v>7</v>
      </c>
      <c r="D200" t="s">
        <v>158</v>
      </c>
      <c r="E200" t="s">
        <v>8</v>
      </c>
      <c r="F200" s="1">
        <f t="shared" ref="F200:K200" si="122">F197*IFERROR(F139/F132,0)</f>
        <v>0</v>
      </c>
      <c r="G200" s="1">
        <f t="shared" si="122"/>
        <v>0</v>
      </c>
      <c r="H200" s="1">
        <f t="shared" si="122"/>
        <v>0</v>
      </c>
      <c r="I200" s="1">
        <f t="shared" si="122"/>
        <v>0</v>
      </c>
      <c r="J200" s="1">
        <f t="shared" si="122"/>
        <v>2.0188899668420177</v>
      </c>
      <c r="K200" s="1">
        <f t="shared" si="122"/>
        <v>3.1845930191123908</v>
      </c>
    </row>
    <row r="201" spans="1:11" x14ac:dyDescent="0.35">
      <c r="A201" s="5" t="s">
        <v>5</v>
      </c>
      <c r="B201" s="5" t="s">
        <v>6</v>
      </c>
      <c r="C201" s="5" t="s">
        <v>7</v>
      </c>
      <c r="D201" t="s">
        <v>815</v>
      </c>
      <c r="E201" t="s">
        <v>8</v>
      </c>
      <c r="F201" s="1">
        <f>SUM(F202:F203)</f>
        <v>7.2306351692590125</v>
      </c>
      <c r="G201" s="1">
        <f t="shared" ref="G201:K201" si="123">SUM(G202:G203)</f>
        <v>6.5258255215782563</v>
      </c>
      <c r="H201" s="1">
        <f t="shared" si="123"/>
        <v>6.5890109982986873</v>
      </c>
      <c r="I201" s="1">
        <f t="shared" si="123"/>
        <v>6.3898192582602249</v>
      </c>
      <c r="J201" s="1">
        <f t="shared" si="123"/>
        <v>5.9203332989353665</v>
      </c>
      <c r="K201" s="1">
        <f t="shared" si="123"/>
        <v>5.4326475361993687</v>
      </c>
    </row>
    <row r="202" spans="1:11" x14ac:dyDescent="0.35">
      <c r="A202" s="5" t="s">
        <v>5</v>
      </c>
      <c r="B202" s="5" t="s">
        <v>6</v>
      </c>
      <c r="C202" s="5" t="s">
        <v>7</v>
      </c>
      <c r="D202" t="s">
        <v>159</v>
      </c>
      <c r="E202" t="s">
        <v>8</v>
      </c>
      <c r="F202" s="1">
        <f t="shared" ref="F202:K203" si="124">F196-F199</f>
        <v>7.2306351692590125</v>
      </c>
      <c r="G202" s="1">
        <f t="shared" si="124"/>
        <v>6.5258255215782563</v>
      </c>
      <c r="H202" s="1">
        <f t="shared" si="124"/>
        <v>6.5890109982986873</v>
      </c>
      <c r="I202" s="1">
        <f t="shared" si="124"/>
        <v>6.3898192582602249</v>
      </c>
      <c r="J202" s="1">
        <f t="shared" si="124"/>
        <v>3.9014433320933488</v>
      </c>
      <c r="K202" s="1">
        <f t="shared" si="124"/>
        <v>2.2480545170869779</v>
      </c>
    </row>
    <row r="203" spans="1:11" x14ac:dyDescent="0.35">
      <c r="A203" s="5" t="s">
        <v>5</v>
      </c>
      <c r="B203" s="5" t="s">
        <v>6</v>
      </c>
      <c r="C203" s="5" t="s">
        <v>7</v>
      </c>
      <c r="D203" t="s">
        <v>160</v>
      </c>
      <c r="E203" t="s">
        <v>8</v>
      </c>
      <c r="F203" s="1">
        <f t="shared" si="124"/>
        <v>0</v>
      </c>
      <c r="G203" s="1">
        <f t="shared" si="124"/>
        <v>0</v>
      </c>
      <c r="H203" s="1">
        <f t="shared" si="124"/>
        <v>0</v>
      </c>
      <c r="I203" s="1">
        <f t="shared" si="124"/>
        <v>0</v>
      </c>
      <c r="J203" s="1">
        <f t="shared" si="124"/>
        <v>2.0188899668420177</v>
      </c>
      <c r="K203" s="1">
        <f t="shared" si="124"/>
        <v>3.1845930191123908</v>
      </c>
    </row>
    <row r="204" spans="1:11" x14ac:dyDescent="0.35">
      <c r="A204" s="5" t="s">
        <v>5</v>
      </c>
      <c r="B204" s="5" t="s">
        <v>6</v>
      </c>
      <c r="C204" s="5" t="s">
        <v>7</v>
      </c>
      <c r="D204" t="s">
        <v>816</v>
      </c>
      <c r="E204" t="s">
        <v>8</v>
      </c>
      <c r="F204" s="1">
        <f>F205</f>
        <v>1.1791811500327745</v>
      </c>
      <c r="G204" s="1">
        <f t="shared" ref="G204:K204" si="125">G205</f>
        <v>0.24884602835543118</v>
      </c>
      <c r="H204" s="1">
        <f t="shared" si="125"/>
        <v>0.34513591279622247</v>
      </c>
      <c r="I204" s="1">
        <f t="shared" si="125"/>
        <v>2.8061157433301407</v>
      </c>
      <c r="J204" s="1">
        <f t="shared" si="125"/>
        <v>3.5006690556935371</v>
      </c>
      <c r="K204" s="1">
        <f t="shared" si="125"/>
        <v>4.8078047377387554</v>
      </c>
    </row>
    <row r="205" spans="1:11" x14ac:dyDescent="0.35">
      <c r="A205" s="5" t="s">
        <v>5</v>
      </c>
      <c r="B205" s="5" t="s">
        <v>6</v>
      </c>
      <c r="C205" s="5" t="s">
        <v>7</v>
      </c>
      <c r="D205" t="s">
        <v>161</v>
      </c>
      <c r="E205" t="s">
        <v>8</v>
      </c>
      <c r="F205" s="1">
        <f>'[1]Electricity and CHPs'!B$92</f>
        <v>1.1791811500327745</v>
      </c>
      <c r="G205" s="1">
        <f>'[1]Electricity and CHPs'!C$92</f>
        <v>0.24884602835543118</v>
      </c>
      <c r="H205" s="1">
        <f>'[1]Electricity and CHPs'!D$92</f>
        <v>0.34513591279622247</v>
      </c>
      <c r="I205" s="1">
        <f>'[1]Electricity and CHPs'!E$92</f>
        <v>2.8061157433301407</v>
      </c>
      <c r="J205" s="1">
        <f>'[1]Electricity and CHPs'!F$92</f>
        <v>3.5006690556935371</v>
      </c>
      <c r="K205" s="1">
        <f>'[1]Electricity and CHPs'!G$92</f>
        <v>4.8078047377387554</v>
      </c>
    </row>
    <row r="206" spans="1:11" x14ac:dyDescent="0.35">
      <c r="A206" s="5" t="s">
        <v>5</v>
      </c>
      <c r="B206" s="5" t="s">
        <v>6</v>
      </c>
      <c r="C206" s="5" t="s">
        <v>7</v>
      </c>
      <c r="D206" t="s">
        <v>817</v>
      </c>
      <c r="E206" t="s">
        <v>8</v>
      </c>
      <c r="F206" s="1">
        <f>+F207</f>
        <v>0</v>
      </c>
      <c r="G206" s="1">
        <f t="shared" ref="G206:K206" si="126">+G207</f>
        <v>0</v>
      </c>
      <c r="H206" s="1">
        <f t="shared" si="126"/>
        <v>0</v>
      </c>
      <c r="I206" s="1">
        <f t="shared" si="126"/>
        <v>0</v>
      </c>
      <c r="J206" s="1">
        <f t="shared" si="126"/>
        <v>0.20068732346979865</v>
      </c>
      <c r="K206" s="1">
        <f t="shared" si="126"/>
        <v>0.20857770858200134</v>
      </c>
    </row>
    <row r="207" spans="1:11" x14ac:dyDescent="0.35">
      <c r="A207" s="5" t="s">
        <v>5</v>
      </c>
      <c r="B207" s="5" t="s">
        <v>6</v>
      </c>
      <c r="C207" s="5" t="s">
        <v>7</v>
      </c>
      <c r="D207" t="s">
        <v>162</v>
      </c>
      <c r="E207" t="s">
        <v>8</v>
      </c>
      <c r="F207" s="1">
        <f>'[1]Electricity and CHPs'!B$96</f>
        <v>0</v>
      </c>
      <c r="G207" s="1">
        <f>'[1]Electricity and CHPs'!C$96</f>
        <v>0</v>
      </c>
      <c r="H207" s="1">
        <f>'[1]Electricity and CHPs'!D$96</f>
        <v>0</v>
      </c>
      <c r="I207" s="1">
        <f>'[1]Electricity and CHPs'!E$96</f>
        <v>0</v>
      </c>
      <c r="J207" s="1">
        <f>'[1]Electricity and CHPs'!F$96</f>
        <v>0.20068732346979865</v>
      </c>
      <c r="K207" s="1">
        <f>'[1]Electricity and CHPs'!G$96</f>
        <v>0.20857770858200134</v>
      </c>
    </row>
    <row r="208" spans="1:11" x14ac:dyDescent="0.35">
      <c r="A208" s="5" t="s">
        <v>5</v>
      </c>
      <c r="B208" s="5" t="s">
        <v>6</v>
      </c>
      <c r="C208" s="5" t="s">
        <v>7</v>
      </c>
      <c r="D208" t="s">
        <v>818</v>
      </c>
      <c r="E208" t="str">
        <f>E165</f>
        <v>PJ/yr.</v>
      </c>
      <c r="F208" s="1">
        <f>SUM(F209,F215,F217,F223,F225,F227,F229)</f>
        <v>5.6047120392527461</v>
      </c>
      <c r="G208" s="1">
        <f t="shared" ref="G208:K208" si="127">SUM(G209,G215,G217,G223,G225,G227,G229)</f>
        <v>12.113498224201599</v>
      </c>
      <c r="H208" s="1">
        <f t="shared" si="127"/>
        <v>10.025898988630644</v>
      </c>
      <c r="I208" s="1">
        <f t="shared" si="127"/>
        <v>10.989459251097976</v>
      </c>
      <c r="J208" s="1">
        <f t="shared" si="127"/>
        <v>11.018282585197005</v>
      </c>
      <c r="K208" s="1">
        <f t="shared" si="127"/>
        <v>11.556652217691461</v>
      </c>
    </row>
    <row r="209" spans="1:11" x14ac:dyDescent="0.35">
      <c r="A209" s="5" t="s">
        <v>5</v>
      </c>
      <c r="B209" s="5" t="s">
        <v>6</v>
      </c>
      <c r="C209" s="5" t="s">
        <v>7</v>
      </c>
      <c r="D209" t="s">
        <v>819</v>
      </c>
      <c r="E209" t="str">
        <f>E168</f>
        <v>PJ/yr.</v>
      </c>
      <c r="F209" s="1">
        <f>+F210</f>
        <v>2.6347012171544004</v>
      </c>
      <c r="G209" s="1">
        <f t="shared" ref="G209:K209" si="128">+G210</f>
        <v>3.3033343657871326</v>
      </c>
      <c r="H209" s="1">
        <f t="shared" si="128"/>
        <v>1.4112807186928951</v>
      </c>
      <c r="I209" s="1">
        <f t="shared" si="128"/>
        <v>0.90177685096863147</v>
      </c>
      <c r="J209" s="1">
        <f t="shared" si="128"/>
        <v>0.98977441740914351</v>
      </c>
      <c r="K209" s="1">
        <f t="shared" si="128"/>
        <v>0.9897660167780048</v>
      </c>
    </row>
    <row r="210" spans="1:11" x14ac:dyDescent="0.35">
      <c r="A210" s="5" t="s">
        <v>5</v>
      </c>
      <c r="B210" s="5" t="s">
        <v>6</v>
      </c>
      <c r="C210" s="5" t="s">
        <v>7</v>
      </c>
      <c r="D210" t="s">
        <v>163</v>
      </c>
      <c r="E210" t="str">
        <f>E169</f>
        <v>PJ/yr.</v>
      </c>
      <c r="F210" s="1">
        <f>'[1]Electricity and CHPs'!B$97+F214</f>
        <v>2.6347012171544004</v>
      </c>
      <c r="G210" s="1">
        <f>'[1]Electricity and CHPs'!C$97+G214</f>
        <v>3.3033343657871326</v>
      </c>
      <c r="H210" s="1">
        <f>'[1]Electricity and CHPs'!D$97+H214</f>
        <v>1.4112807186928951</v>
      </c>
      <c r="I210" s="1">
        <f>'[1]Electricity and CHPs'!E$97+I214</f>
        <v>0.90177685096863147</v>
      </c>
      <c r="J210" s="1">
        <f>'[1]Electricity and CHPs'!F$97+J214</f>
        <v>0.98977441740914351</v>
      </c>
      <c r="K210" s="1">
        <f>'[1]Electricity and CHPs'!G$97+K214</f>
        <v>0.9897660167780048</v>
      </c>
    </row>
    <row r="211" spans="1:11" x14ac:dyDescent="0.35">
      <c r="A211" s="5"/>
      <c r="B211" s="5" t="str">
        <f>B210</f>
        <v>SPS1</v>
      </c>
      <c r="C211" s="5" t="str">
        <f>C210</f>
        <v>CH</v>
      </c>
      <c r="D211" t="s">
        <v>822</v>
      </c>
      <c r="E211" t="str">
        <f>E170</f>
        <v>PJ/yr.</v>
      </c>
      <c r="F211" s="1">
        <f>F212</f>
        <v>1.732909558024573</v>
      </c>
      <c r="G211" s="1">
        <f t="shared" ref="G211:K211" si="129">G212</f>
        <v>2.4015586836574809</v>
      </c>
      <c r="H211" s="1">
        <f t="shared" si="129"/>
        <v>0.50950435632666891</v>
      </c>
      <c r="I211" s="1">
        <f t="shared" si="129"/>
        <v>0</v>
      </c>
      <c r="J211" s="1">
        <f t="shared" si="129"/>
        <v>0</v>
      </c>
      <c r="K211" s="1">
        <f t="shared" si="129"/>
        <v>0</v>
      </c>
    </row>
    <row r="212" spans="1:11" x14ac:dyDescent="0.35">
      <c r="A212" s="5" t="s">
        <v>5</v>
      </c>
      <c r="B212" s="5" t="s">
        <v>6</v>
      </c>
      <c r="C212" s="5" t="s">
        <v>7</v>
      </c>
      <c r="D212" t="s">
        <v>820</v>
      </c>
      <c r="E212" t="str">
        <f>E169</f>
        <v>PJ/yr.</v>
      </c>
      <c r="F212" s="1">
        <f>F210-F214</f>
        <v>1.732909558024573</v>
      </c>
      <c r="G212" s="1">
        <f t="shared" ref="G212:K212" si="130">G210-G214</f>
        <v>2.4015586836574809</v>
      </c>
      <c r="H212" s="1">
        <f t="shared" si="130"/>
        <v>0.50950435632666891</v>
      </c>
      <c r="I212" s="1">
        <f t="shared" si="130"/>
        <v>0</v>
      </c>
      <c r="J212" s="1">
        <f t="shared" si="130"/>
        <v>0</v>
      </c>
      <c r="K212" s="1">
        <f t="shared" si="130"/>
        <v>0</v>
      </c>
    </row>
    <row r="213" spans="1:11" x14ac:dyDescent="0.35">
      <c r="A213" s="5"/>
      <c r="B213" s="5" t="str">
        <f>B212</f>
        <v>SPS1</v>
      </c>
      <c r="C213" s="5" t="str">
        <f>C212</f>
        <v>CH</v>
      </c>
      <c r="D213" t="s">
        <v>824</v>
      </c>
      <c r="E213" t="str">
        <f>E170</f>
        <v>PJ/yr.</v>
      </c>
      <c r="F213" s="1">
        <f>F214</f>
        <v>0.90179165912982751</v>
      </c>
      <c r="G213" s="1">
        <f t="shared" ref="G213:K213" si="131">G214</f>
        <v>0.90177568212965153</v>
      </c>
      <c r="H213" s="1">
        <f t="shared" si="131"/>
        <v>0.90177636236622616</v>
      </c>
      <c r="I213" s="1">
        <f t="shared" si="131"/>
        <v>0.90177685096863147</v>
      </c>
      <c r="J213" s="1">
        <f t="shared" si="131"/>
        <v>0.98977441740914351</v>
      </c>
      <c r="K213" s="1">
        <f t="shared" si="131"/>
        <v>0.9897660167780048</v>
      </c>
    </row>
    <row r="214" spans="1:11" x14ac:dyDescent="0.35">
      <c r="A214" s="5" t="s">
        <v>5</v>
      </c>
      <c r="B214" s="5" t="s">
        <v>6</v>
      </c>
      <c r="C214" s="5" t="s">
        <v>7</v>
      </c>
      <c r="D214" t="s">
        <v>821</v>
      </c>
      <c r="E214" t="str">
        <f>E170</f>
        <v>PJ/yr.</v>
      </c>
      <c r="F214" s="1">
        <f>'[1]Electricity and CHPs'!B$98</f>
        <v>0.90179165912982751</v>
      </c>
      <c r="G214" s="1">
        <f>'[1]Electricity and CHPs'!C$98</f>
        <v>0.90177568212965153</v>
      </c>
      <c r="H214" s="1">
        <f>'[1]Electricity and CHPs'!D$98</f>
        <v>0.90177636236622616</v>
      </c>
      <c r="I214" s="1">
        <f>'[1]Electricity and CHPs'!E$98</f>
        <v>0.90177685096863147</v>
      </c>
      <c r="J214" s="1">
        <f>'[1]Electricity and CHPs'!F$98</f>
        <v>0.98977441740914351</v>
      </c>
      <c r="K214" s="1">
        <f>'[1]Electricity and CHPs'!G$98</f>
        <v>0.9897660167780048</v>
      </c>
    </row>
    <row r="215" spans="1:11" x14ac:dyDescent="0.35">
      <c r="A215" s="5" t="s">
        <v>5</v>
      </c>
      <c r="B215" s="5" t="s">
        <v>6</v>
      </c>
      <c r="C215" s="5" t="s">
        <v>7</v>
      </c>
      <c r="D215" t="s">
        <v>825</v>
      </c>
      <c r="E215" t="str">
        <f>E170</f>
        <v>PJ/yr.</v>
      </c>
      <c r="F215" s="1">
        <f>+F216</f>
        <v>1.4500240724729587</v>
      </c>
      <c r="G215" s="1">
        <f t="shared" ref="G215:K215" si="132">+G216</f>
        <v>3.801915350951345</v>
      </c>
      <c r="H215" s="1">
        <f t="shared" si="132"/>
        <v>3.8013930780159932</v>
      </c>
      <c r="I215" s="1">
        <f t="shared" si="132"/>
        <v>1.0696420869957424</v>
      </c>
      <c r="J215" s="1">
        <f t="shared" si="132"/>
        <v>0</v>
      </c>
      <c r="K215" s="1">
        <f t="shared" si="132"/>
        <v>0</v>
      </c>
    </row>
    <row r="216" spans="1:11" x14ac:dyDescent="0.35">
      <c r="A216" s="5" t="s">
        <v>5</v>
      </c>
      <c r="B216" s="5" t="s">
        <v>6</v>
      </c>
      <c r="C216" s="5" t="s">
        <v>7</v>
      </c>
      <c r="D216" t="s">
        <v>164</v>
      </c>
      <c r="E216" t="str">
        <f>E171</f>
        <v>PJ/yr.</v>
      </c>
      <c r="F216" s="1">
        <f>'[1]Electricity and CHPs'!B$99</f>
        <v>1.4500240724729587</v>
      </c>
      <c r="G216" s="1">
        <f>'[1]Electricity and CHPs'!C$99</f>
        <v>3.801915350951345</v>
      </c>
      <c r="H216" s="1">
        <f>'[1]Electricity and CHPs'!D$99</f>
        <v>3.8013930780159932</v>
      </c>
      <c r="I216" s="1">
        <f>'[1]Electricity and CHPs'!E$99</f>
        <v>1.0696420869957424</v>
      </c>
      <c r="J216" s="1">
        <f>'[1]Electricity and CHPs'!F$99</f>
        <v>0</v>
      </c>
      <c r="K216" s="1">
        <f>'[1]Electricity and CHPs'!G$99</f>
        <v>0</v>
      </c>
    </row>
    <row r="217" spans="1:11" x14ac:dyDescent="0.35">
      <c r="A217" s="5" t="s">
        <v>5</v>
      </c>
      <c r="B217" s="5" t="s">
        <v>6</v>
      </c>
      <c r="C217" s="5" t="s">
        <v>7</v>
      </c>
      <c r="D217" t="s">
        <v>826</v>
      </c>
      <c r="E217" t="str">
        <f>E171</f>
        <v>PJ/yr.</v>
      </c>
      <c r="F217" s="1">
        <f>+F218</f>
        <v>0.18408143843466365</v>
      </c>
      <c r="G217" s="1">
        <f t="shared" ref="G217:K217" si="133">+G218</f>
        <v>0.18586910679802096</v>
      </c>
      <c r="H217" s="1">
        <f t="shared" si="133"/>
        <v>5.3206255930339758E-2</v>
      </c>
      <c r="I217" s="1">
        <f t="shared" si="133"/>
        <v>5.3595471504837872E-2</v>
      </c>
      <c r="J217" s="1">
        <f t="shared" si="133"/>
        <v>9.7592933355602831E-5</v>
      </c>
      <c r="K217" s="1">
        <f t="shared" si="133"/>
        <v>5.6647725711174802E-6</v>
      </c>
    </row>
    <row r="218" spans="1:11" x14ac:dyDescent="0.35">
      <c r="A218" s="5" t="s">
        <v>5</v>
      </c>
      <c r="B218" s="5" t="s">
        <v>6</v>
      </c>
      <c r="C218" s="5" t="s">
        <v>7</v>
      </c>
      <c r="D218" t="s">
        <v>165</v>
      </c>
      <c r="E218" t="str">
        <f>E172</f>
        <v>PJ/yr.</v>
      </c>
      <c r="F218" s="1">
        <f>'[1]Electricity and CHPs'!B$100</f>
        <v>0.18408143843466365</v>
      </c>
      <c r="G218" s="1">
        <f>'[1]Electricity and CHPs'!C$100</f>
        <v>0.18586910679802096</v>
      </c>
      <c r="H218" s="1">
        <f>'[1]Electricity and CHPs'!D$100</f>
        <v>5.3206255930339758E-2</v>
      </c>
      <c r="I218" s="1">
        <f>'[1]Electricity and CHPs'!E$100</f>
        <v>5.3595471504837872E-2</v>
      </c>
      <c r="J218" s="1">
        <f>'[1]Electricity and CHPs'!F$100</f>
        <v>9.7592933355602831E-5</v>
      </c>
      <c r="K218" s="1">
        <f>'[1]Electricity and CHPs'!G$100</f>
        <v>5.6647725711174802E-6</v>
      </c>
    </row>
    <row r="219" spans="1:11" x14ac:dyDescent="0.35">
      <c r="A219" s="5"/>
      <c r="B219" s="5" t="s">
        <v>6</v>
      </c>
      <c r="C219" s="5" t="s">
        <v>7</v>
      </c>
      <c r="D219" t="s">
        <v>827</v>
      </c>
      <c r="E219" t="str">
        <f>E171</f>
        <v>PJ/yr.</v>
      </c>
      <c r="F219" s="1">
        <f>F220</f>
        <v>0.18408143843466365</v>
      </c>
      <c r="G219" s="1">
        <f t="shared" ref="G219:K219" si="134">G220</f>
        <v>0.18586910679802096</v>
      </c>
      <c r="H219" s="1">
        <f t="shared" si="134"/>
        <v>5.3206255930339758E-2</v>
      </c>
      <c r="I219" s="1">
        <f t="shared" si="134"/>
        <v>5.3595471504837872E-2</v>
      </c>
      <c r="J219" s="1">
        <f t="shared" si="134"/>
        <v>9.7592933355602831E-5</v>
      </c>
      <c r="K219" s="1">
        <f t="shared" si="134"/>
        <v>5.6647725711174802E-6</v>
      </c>
    </row>
    <row r="220" spans="1:11" x14ac:dyDescent="0.35">
      <c r="A220" s="5" t="s">
        <v>5</v>
      </c>
      <c r="B220" s="5" t="s">
        <v>6</v>
      </c>
      <c r="C220" s="5" t="s">
        <v>7</v>
      </c>
      <c r="D220" t="s">
        <v>518</v>
      </c>
      <c r="E220" t="str">
        <f>E172</f>
        <v>PJ/yr.</v>
      </c>
      <c r="F220" s="1">
        <f>F218-F222</f>
        <v>0.18408143843466365</v>
      </c>
      <c r="G220" s="1">
        <f t="shared" ref="G220:K220" si="135">G218-G222</f>
        <v>0.18586910679802096</v>
      </c>
      <c r="H220" s="1">
        <f t="shared" si="135"/>
        <v>5.3206255930339758E-2</v>
      </c>
      <c r="I220" s="1">
        <f t="shared" si="135"/>
        <v>5.3595471504837872E-2</v>
      </c>
      <c r="J220" s="1">
        <f t="shared" si="135"/>
        <v>9.7592933355602831E-5</v>
      </c>
      <c r="K220" s="1">
        <f t="shared" si="135"/>
        <v>5.6647725711174802E-6</v>
      </c>
    </row>
    <row r="221" spans="1:11" x14ac:dyDescent="0.35">
      <c r="A221" s="5"/>
      <c r="B221" s="5" t="s">
        <v>6</v>
      </c>
      <c r="C221" s="5" t="s">
        <v>7</v>
      </c>
      <c r="D221" t="s">
        <v>828</v>
      </c>
      <c r="E221" t="str">
        <f>E172</f>
        <v>PJ/yr.</v>
      </c>
      <c r="F221" s="1">
        <f>F222</f>
        <v>0</v>
      </c>
      <c r="G221" s="1">
        <f t="shared" ref="G221:K221" si="136">G222</f>
        <v>0</v>
      </c>
      <c r="H221" s="1">
        <f t="shared" si="136"/>
        <v>0</v>
      </c>
      <c r="I221" s="1">
        <f t="shared" si="136"/>
        <v>0</v>
      </c>
      <c r="J221" s="1">
        <f t="shared" si="136"/>
        <v>0</v>
      </c>
      <c r="K221" s="1">
        <f t="shared" si="136"/>
        <v>0</v>
      </c>
    </row>
    <row r="222" spans="1:11" x14ac:dyDescent="0.35">
      <c r="A222" s="5" t="s">
        <v>5</v>
      </c>
      <c r="B222" s="5" t="s">
        <v>6</v>
      </c>
      <c r="C222" s="5" t="s">
        <v>7</v>
      </c>
      <c r="D222" t="s">
        <v>542</v>
      </c>
      <c r="E222" t="str">
        <f>E173</f>
        <v>PJ/yr.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</row>
    <row r="223" spans="1:11" x14ac:dyDescent="0.35">
      <c r="A223" s="5" t="s">
        <v>5</v>
      </c>
      <c r="B223" s="5" t="s">
        <v>6</v>
      </c>
      <c r="C223" s="5" t="s">
        <v>7</v>
      </c>
      <c r="D223" t="s">
        <v>829</v>
      </c>
      <c r="E223" t="str">
        <f>E172</f>
        <v>PJ/yr.</v>
      </c>
      <c r="F223" s="1">
        <f>+F224</f>
        <v>1.3359053111907238</v>
      </c>
      <c r="G223" s="1">
        <f t="shared" ref="G223:K223" si="137">+G224</f>
        <v>1.2056521777917923</v>
      </c>
      <c r="H223" s="1">
        <f t="shared" si="137"/>
        <v>1.0337007755821053</v>
      </c>
      <c r="I223" s="1">
        <f t="shared" si="137"/>
        <v>0.79986073803141877</v>
      </c>
      <c r="J223" s="1">
        <f t="shared" si="137"/>
        <v>1.0095667302084097</v>
      </c>
      <c r="K223" s="1">
        <f t="shared" si="137"/>
        <v>0.60447942245546993</v>
      </c>
    </row>
    <row r="224" spans="1:11" x14ac:dyDescent="0.35">
      <c r="A224" s="5" t="s">
        <v>5</v>
      </c>
      <c r="B224" s="5" t="s">
        <v>6</v>
      </c>
      <c r="C224" s="5" t="s">
        <v>7</v>
      </c>
      <c r="D224" t="s">
        <v>166</v>
      </c>
      <c r="E224" t="str">
        <f>E173</f>
        <v>PJ/yr.</v>
      </c>
      <c r="F224" s="1">
        <f>'[1]Electricity and CHPs'!B$101</f>
        <v>1.3359053111907238</v>
      </c>
      <c r="G224" s="1">
        <f>'[1]Electricity and CHPs'!C$101</f>
        <v>1.2056521777917923</v>
      </c>
      <c r="H224" s="1">
        <f>'[1]Electricity and CHPs'!D$101</f>
        <v>1.0337007755821053</v>
      </c>
      <c r="I224" s="1">
        <f>'[1]Electricity and CHPs'!E$101</f>
        <v>0.79986073803141877</v>
      </c>
      <c r="J224" s="1">
        <f>'[1]Electricity and CHPs'!F$101</f>
        <v>1.0095667302084097</v>
      </c>
      <c r="K224" s="1">
        <f>'[1]Electricity and CHPs'!G$101</f>
        <v>0.60447942245546993</v>
      </c>
    </row>
    <row r="225" spans="1:11" x14ac:dyDescent="0.35">
      <c r="A225" s="5" t="s">
        <v>5</v>
      </c>
      <c r="B225" s="5" t="s">
        <v>6</v>
      </c>
      <c r="C225" s="5" t="s">
        <v>7</v>
      </c>
      <c r="D225" t="s">
        <v>830</v>
      </c>
      <c r="E225" t="str">
        <f>E173</f>
        <v>PJ/yr.</v>
      </c>
      <c r="F225" s="1">
        <f>+F226</f>
        <v>0</v>
      </c>
      <c r="G225" s="1">
        <f t="shared" ref="G225:K225" si="138">+G226</f>
        <v>0</v>
      </c>
      <c r="H225" s="1">
        <f t="shared" si="138"/>
        <v>0</v>
      </c>
      <c r="I225" s="1">
        <f t="shared" si="138"/>
        <v>2.6913267473530945E-5</v>
      </c>
      <c r="J225" s="1">
        <f t="shared" si="138"/>
        <v>2.5827872756070842E-5</v>
      </c>
      <c r="K225" s="1">
        <f t="shared" si="138"/>
        <v>2.6243669332189611E-5</v>
      </c>
    </row>
    <row r="226" spans="1:11" x14ac:dyDescent="0.35">
      <c r="A226" s="5" t="s">
        <v>5</v>
      </c>
      <c r="B226" s="5" t="s">
        <v>6</v>
      </c>
      <c r="C226" s="5" t="s">
        <v>7</v>
      </c>
      <c r="D226" t="s">
        <v>167</v>
      </c>
      <c r="E226" t="str">
        <f>E174</f>
        <v>PJ/yr.</v>
      </c>
      <c r="F226" s="1">
        <f>'[1]Electricity and CHPs'!B$102</f>
        <v>0</v>
      </c>
      <c r="G226" s="1">
        <f>'[1]Electricity and CHPs'!C$102</f>
        <v>0</v>
      </c>
      <c r="H226" s="1">
        <f>'[1]Electricity and CHPs'!D$102</f>
        <v>0</v>
      </c>
      <c r="I226" s="1">
        <f>'[1]Electricity and CHPs'!E$102</f>
        <v>2.6913267473530945E-5</v>
      </c>
      <c r="J226" s="1">
        <f>'[1]Electricity and CHPs'!F$102</f>
        <v>2.5827872756070842E-5</v>
      </c>
      <c r="K226" s="1">
        <f>'[1]Electricity and CHPs'!G$102</f>
        <v>2.6243669332189611E-5</v>
      </c>
    </row>
    <row r="227" spans="1:11" x14ac:dyDescent="0.35">
      <c r="A227" s="5" t="s">
        <v>5</v>
      </c>
      <c r="B227" s="5" t="s">
        <v>6</v>
      </c>
      <c r="C227" s="5" t="s">
        <v>7</v>
      </c>
      <c r="D227" t="s">
        <v>831</v>
      </c>
      <c r="E227" t="str">
        <f>E174</f>
        <v>PJ/yr.</v>
      </c>
      <c r="F227" s="1">
        <f>+F228</f>
        <v>0</v>
      </c>
      <c r="G227" s="1">
        <f t="shared" ref="G227:K227" si="139">+G228</f>
        <v>0</v>
      </c>
      <c r="H227" s="1">
        <f t="shared" si="139"/>
        <v>0</v>
      </c>
      <c r="I227" s="1">
        <f t="shared" si="139"/>
        <v>0</v>
      </c>
      <c r="J227" s="1">
        <f t="shared" si="139"/>
        <v>6.6784315224803321E-5</v>
      </c>
      <c r="K227" s="1">
        <f t="shared" si="139"/>
        <v>6.3754143134864814E-5</v>
      </c>
    </row>
    <row r="228" spans="1:11" x14ac:dyDescent="0.35">
      <c r="A228" s="5" t="s">
        <v>5</v>
      </c>
      <c r="B228" s="5" t="s">
        <v>6</v>
      </c>
      <c r="C228" s="5" t="s">
        <v>7</v>
      </c>
      <c r="D228" t="s">
        <v>233</v>
      </c>
      <c r="E228" t="str">
        <f>E175</f>
        <v>PJ/yr.</v>
      </c>
      <c r="F228" s="1">
        <f>'[1]Electricity and CHPs'!B$90</f>
        <v>0</v>
      </c>
      <c r="G228" s="1">
        <f>'[1]Electricity and CHPs'!C$90</f>
        <v>0</v>
      </c>
      <c r="H228" s="1">
        <f>'[1]Electricity and CHPs'!D$90</f>
        <v>0</v>
      </c>
      <c r="I228" s="1">
        <f>'[1]Electricity and CHPs'!E$90</f>
        <v>0</v>
      </c>
      <c r="J228" s="1">
        <f>'[1]Electricity and CHPs'!F$90</f>
        <v>6.6784315224803321E-5</v>
      </c>
      <c r="K228" s="1">
        <f>'[1]Electricity and CHPs'!G$90</f>
        <v>6.3754143134864814E-5</v>
      </c>
    </row>
    <row r="229" spans="1:11" x14ac:dyDescent="0.35">
      <c r="A229" s="5" t="s">
        <v>5</v>
      </c>
      <c r="B229" s="5" t="s">
        <v>6</v>
      </c>
      <c r="C229" s="5" t="s">
        <v>7</v>
      </c>
      <c r="D229" t="s">
        <v>832</v>
      </c>
      <c r="E229" t="str">
        <f>E174</f>
        <v>PJ/yr.</v>
      </c>
      <c r="F229" s="1">
        <f>+F230</f>
        <v>0</v>
      </c>
      <c r="G229" s="1">
        <f t="shared" ref="G229:K229" si="140">+G230</f>
        <v>3.6167272228733092</v>
      </c>
      <c r="H229" s="1">
        <f t="shared" si="140"/>
        <v>3.7263181604093121</v>
      </c>
      <c r="I229" s="1">
        <f t="shared" si="140"/>
        <v>8.164557190329873</v>
      </c>
      <c r="J229" s="1">
        <f t="shared" si="140"/>
        <v>9.0187512324581149</v>
      </c>
      <c r="K229" s="1">
        <f t="shared" si="140"/>
        <v>9.9623111158729483</v>
      </c>
    </row>
    <row r="230" spans="1:11" x14ac:dyDescent="0.35">
      <c r="A230" s="5" t="s">
        <v>5</v>
      </c>
      <c r="B230" s="5" t="s">
        <v>6</v>
      </c>
      <c r="C230" s="5" t="s">
        <v>7</v>
      </c>
      <c r="D230" t="s">
        <v>833</v>
      </c>
      <c r="E230" t="str">
        <f>E175</f>
        <v>PJ/yr.</v>
      </c>
      <c r="F230" s="1">
        <f>'[1]Electricity and CHPs'!B$123</f>
        <v>0</v>
      </c>
      <c r="G230" s="1">
        <f>'[1]Electricity and CHPs'!C$123</f>
        <v>3.6167272228733092</v>
      </c>
      <c r="H230" s="1">
        <f>'[1]Electricity and CHPs'!D$123</f>
        <v>3.7263181604093121</v>
      </c>
      <c r="I230" s="1">
        <f>'[1]Electricity and CHPs'!E$123</f>
        <v>8.164557190329873</v>
      </c>
      <c r="J230" s="1">
        <f>'[1]Electricity and CHPs'!F$123</f>
        <v>9.0187512324581149</v>
      </c>
      <c r="K230" s="1">
        <f>'[1]Electricity and CHPs'!G$123</f>
        <v>9.9623111158729483</v>
      </c>
    </row>
    <row r="231" spans="1:11" x14ac:dyDescent="0.35">
      <c r="A231" s="5" t="s">
        <v>5</v>
      </c>
      <c r="B231" s="5" t="s">
        <v>6</v>
      </c>
      <c r="C231" s="5" t="s">
        <v>7</v>
      </c>
      <c r="D231" t="s">
        <v>834</v>
      </c>
      <c r="E231" t="str">
        <f>E169</f>
        <v>PJ/yr.</v>
      </c>
      <c r="F231" s="1">
        <f>SUM(F232,F238,F271,F280,F286)</f>
        <v>6.5305106848703902</v>
      </c>
      <c r="G231" s="1">
        <f t="shared" ref="G231:K231" si="141">SUM(G232,G238,G271,G280,G286)</f>
        <v>8.3629900203213712</v>
      </c>
      <c r="H231" s="1">
        <f t="shared" si="141"/>
        <v>7.9383062922366392</v>
      </c>
      <c r="I231" s="1">
        <f t="shared" si="141"/>
        <v>9.872248848854559</v>
      </c>
      <c r="J231" s="1">
        <f t="shared" si="141"/>
        <v>11.156660390645236</v>
      </c>
      <c r="K231" s="1">
        <f t="shared" si="141"/>
        <v>13.445369635090223</v>
      </c>
    </row>
    <row r="232" spans="1:11" x14ac:dyDescent="0.35">
      <c r="A232" s="5" t="s">
        <v>5</v>
      </c>
      <c r="B232" s="5" t="s">
        <v>6</v>
      </c>
      <c r="C232" s="5" t="s">
        <v>7</v>
      </c>
      <c r="D232" t="s">
        <v>835</v>
      </c>
      <c r="E232" t="str">
        <f>E169</f>
        <v>PJ/yr.</v>
      </c>
      <c r="F232" s="1">
        <f>+F233</f>
        <v>0.929421378664679</v>
      </c>
      <c r="G232" s="1">
        <f t="shared" ref="G232:K232" si="142">+G233</f>
        <v>2.0726397765141442</v>
      </c>
      <c r="H232" s="1">
        <f t="shared" si="142"/>
        <v>0.1111192619538891</v>
      </c>
      <c r="I232" s="1">
        <f t="shared" si="142"/>
        <v>1.3178988184424179</v>
      </c>
      <c r="J232" s="1">
        <f t="shared" si="142"/>
        <v>0</v>
      </c>
      <c r="K232" s="1">
        <f t="shared" si="142"/>
        <v>0</v>
      </c>
    </row>
    <row r="233" spans="1:11" x14ac:dyDescent="0.35">
      <c r="A233" s="5" t="s">
        <v>5</v>
      </c>
      <c r="B233" s="5" t="s">
        <v>6</v>
      </c>
      <c r="C233" s="5" t="s">
        <v>7</v>
      </c>
      <c r="D233" t="s">
        <v>168</v>
      </c>
      <c r="E233" t="str">
        <f>E170</f>
        <v>PJ/yr.</v>
      </c>
      <c r="F233" s="1">
        <f>'[1]Electricity and CHPs'!B$104</f>
        <v>0.929421378664679</v>
      </c>
      <c r="G233" s="1">
        <f>'[1]Electricity and CHPs'!C$104</f>
        <v>2.0726397765141442</v>
      </c>
      <c r="H233" s="1">
        <f>'[1]Electricity and CHPs'!D$104</f>
        <v>0.1111192619538891</v>
      </c>
      <c r="I233" s="1">
        <f>'[1]Electricity and CHPs'!E$104</f>
        <v>1.3178988184424179</v>
      </c>
      <c r="J233" s="1">
        <f>'[1]Electricity and CHPs'!F$104</f>
        <v>0</v>
      </c>
      <c r="K233" s="1">
        <f>'[1]Electricity and CHPs'!G$104</f>
        <v>0</v>
      </c>
    </row>
    <row r="234" spans="1:11" x14ac:dyDescent="0.35">
      <c r="A234" s="5"/>
      <c r="B234" s="5" t="s">
        <v>6</v>
      </c>
      <c r="C234" s="5" t="s">
        <v>7</v>
      </c>
      <c r="D234" t="s">
        <v>836</v>
      </c>
      <c r="E234" t="str">
        <f>E169</f>
        <v>PJ/yr.</v>
      </c>
      <c r="F234" s="1">
        <f>F235</f>
        <v>0.929421378664679</v>
      </c>
      <c r="G234" s="1">
        <f t="shared" ref="G234:K234" si="143">G235</f>
        <v>2.0726397765141442</v>
      </c>
      <c r="H234" s="1">
        <f t="shared" si="143"/>
        <v>0.1111192619538891</v>
      </c>
      <c r="I234" s="1">
        <f t="shared" si="143"/>
        <v>1.3178988184424179</v>
      </c>
      <c r="J234" s="1">
        <f t="shared" si="143"/>
        <v>0</v>
      </c>
      <c r="K234" s="1">
        <f t="shared" si="143"/>
        <v>0</v>
      </c>
    </row>
    <row r="235" spans="1:11" x14ac:dyDescent="0.35">
      <c r="A235" s="5" t="s">
        <v>5</v>
      </c>
      <c r="B235" s="5" t="s">
        <v>6</v>
      </c>
      <c r="C235" s="5" t="s">
        <v>7</v>
      </c>
      <c r="D235" t="s">
        <v>519</v>
      </c>
      <c r="E235" t="str">
        <f>E170</f>
        <v>PJ/yr.</v>
      </c>
      <c r="F235" s="1">
        <f>F233-F237</f>
        <v>0.929421378664679</v>
      </c>
      <c r="G235" s="1">
        <f t="shared" ref="G235:K235" si="144">G233-G237</f>
        <v>2.0726397765141442</v>
      </c>
      <c r="H235" s="1">
        <f t="shared" si="144"/>
        <v>0.1111192619538891</v>
      </c>
      <c r="I235" s="1">
        <f t="shared" si="144"/>
        <v>1.3178988184424179</v>
      </c>
      <c r="J235" s="1">
        <f t="shared" si="144"/>
        <v>0</v>
      </c>
      <c r="K235" s="1">
        <f t="shared" si="144"/>
        <v>0</v>
      </c>
    </row>
    <row r="236" spans="1:11" x14ac:dyDescent="0.35">
      <c r="A236" s="5"/>
      <c r="B236" s="5" t="s">
        <v>6</v>
      </c>
      <c r="C236" s="5" t="s">
        <v>7</v>
      </c>
      <c r="D236" t="s">
        <v>837</v>
      </c>
      <c r="E236" t="str">
        <f>E170</f>
        <v>PJ/yr.</v>
      </c>
      <c r="F236" s="1">
        <f>F237</f>
        <v>0</v>
      </c>
      <c r="G236" s="1">
        <f t="shared" ref="G236:K236" si="145">G237</f>
        <v>0</v>
      </c>
      <c r="H236" s="1">
        <f t="shared" si="145"/>
        <v>0</v>
      </c>
      <c r="I236" s="1">
        <f t="shared" si="145"/>
        <v>0</v>
      </c>
      <c r="J236" s="1">
        <f t="shared" si="145"/>
        <v>0</v>
      </c>
      <c r="K236" s="1">
        <f t="shared" si="145"/>
        <v>0</v>
      </c>
    </row>
    <row r="237" spans="1:11" x14ac:dyDescent="0.35">
      <c r="A237" s="5" t="s">
        <v>5</v>
      </c>
      <c r="B237" s="5" t="s">
        <v>6</v>
      </c>
      <c r="C237" s="5" t="s">
        <v>7</v>
      </c>
      <c r="D237" t="s">
        <v>543</v>
      </c>
      <c r="E237" t="str">
        <f>E171</f>
        <v>PJ/yr.</v>
      </c>
      <c r="F237" s="1">
        <f t="shared" ref="F237:K237" si="146">F233*IFERROR(F79/F75,0)</f>
        <v>0</v>
      </c>
      <c r="G237" s="1">
        <f t="shared" si="146"/>
        <v>0</v>
      </c>
      <c r="H237" s="1">
        <f t="shared" si="146"/>
        <v>0</v>
      </c>
      <c r="I237" s="1">
        <f t="shared" si="146"/>
        <v>0</v>
      </c>
      <c r="J237" s="1">
        <f t="shared" si="146"/>
        <v>0</v>
      </c>
      <c r="K237" s="1">
        <f t="shared" si="146"/>
        <v>0</v>
      </c>
    </row>
    <row r="238" spans="1:11" x14ac:dyDescent="0.35">
      <c r="A238" s="5" t="s">
        <v>5</v>
      </c>
      <c r="B238" s="5" t="s">
        <v>6</v>
      </c>
      <c r="C238" s="5" t="s">
        <v>7</v>
      </c>
      <c r="D238" t="s">
        <v>838</v>
      </c>
      <c r="E238" t="str">
        <f>E171</f>
        <v>PJ/yr.</v>
      </c>
      <c r="F238" s="1">
        <f>SUM(F239:F248)</f>
        <v>3.0051615974062811</v>
      </c>
      <c r="G238" s="1">
        <f t="shared" ref="G238:K238" si="147">SUM(G239:G248)</f>
        <v>2.6139362130661326</v>
      </c>
      <c r="H238" s="1">
        <f t="shared" si="147"/>
        <v>1.9402481359596966</v>
      </c>
      <c r="I238" s="1">
        <f t="shared" si="147"/>
        <v>2.3754229833325522</v>
      </c>
      <c r="J238" s="1">
        <f t="shared" si="147"/>
        <v>2.2803799512771539</v>
      </c>
      <c r="K238" s="1">
        <f t="shared" si="147"/>
        <v>1.74649878015977</v>
      </c>
    </row>
    <row r="239" spans="1:11" x14ac:dyDescent="0.35">
      <c r="A239" s="5" t="s">
        <v>5</v>
      </c>
      <c r="B239" s="5" t="s">
        <v>6</v>
      </c>
      <c r="C239" s="5" t="s">
        <v>7</v>
      </c>
      <c r="D239" t="s">
        <v>169</v>
      </c>
      <c r="E239" t="str">
        <f>E172</f>
        <v>PJ/yr.</v>
      </c>
      <c r="F239" s="1">
        <f>'[1]Electricity and CHPs_IN'!B$39*0.75-F86-F240</f>
        <v>0.76858029484467172</v>
      </c>
      <c r="G239" s="1">
        <f>'[1]Electricity and CHPs_IN'!C$39*0.75-G86-G240</f>
        <v>0.10155444530988297</v>
      </c>
      <c r="H239" s="1">
        <f>'[1]Electricity and CHPs_IN'!D$39*0.75-H86-H240</f>
        <v>5.8365187922181726E-2</v>
      </c>
      <c r="I239" s="1">
        <f>'[1]Electricity and CHPs_IN'!E$39*0.75-I86-I240</f>
        <v>0.11556938589457254</v>
      </c>
      <c r="J239" s="1">
        <f>'[1]Electricity and CHPs'!F$103-J240</f>
        <v>0.7537054134958755</v>
      </c>
      <c r="K239" s="1">
        <f>'[1]Electricity and CHPs'!G$103-K240</f>
        <v>0.46848963305710523</v>
      </c>
    </row>
    <row r="240" spans="1:11" x14ac:dyDescent="0.35">
      <c r="A240" s="5" t="s">
        <v>5</v>
      </c>
      <c r="B240" s="5" t="s">
        <v>6</v>
      </c>
      <c r="C240" s="5" t="s">
        <v>7</v>
      </c>
      <c r="D240" t="s">
        <v>170</v>
      </c>
      <c r="E240" t="str">
        <f>E173</f>
        <v>PJ/yr.</v>
      </c>
      <c r="F240" s="1" cm="1">
        <f t="array" ref="F240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0" s="1" cm="1">
        <f t="array" ref="G240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0" s="1" cm="1">
        <f t="array" ref="H240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0" s="1" cm="1">
        <f t="array" ref="I240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0" s="1" cm="1">
        <f t="array" ref="J240">SUMPRODUCT((ISNUMBER(SEARCH("ITOT-CHPNGACCS",[1]OUT_Electricity_CHP!$B$1:$B$10000)))*1,([1]OUT_Electricity_CHP!$C$1:$C$10000="Var_Fout")*1,([1]OUT_Electricity_CHP!$D$1:$D$10000="ITOT_LTH_CHP")*1,[1]OUT_Electricity_CHP!I$1:I$10000)</f>
        <v>2.0430129078231811E-3</v>
      </c>
      <c r="K240" s="1" cm="1">
        <f t="array" ref="K240">SUMPRODUCT((ISNUMBER(SEARCH("ITOT-CHPNGACCS",[1]OUT_Electricity_CHP!$B$1:$B$10000)))*1,([1]OUT_Electricity_CHP!$C$1:$C$10000="Var_Fout")*1,([1]OUT_Electricity_CHP!$D$1:$D$10000="ITOT_LTH_CHP")*1,[1]OUT_Electricity_CHP!J$1:J$10000)</f>
        <v>0.27090270615310919</v>
      </c>
    </row>
    <row r="241" spans="1:11" x14ac:dyDescent="0.35">
      <c r="A241" s="5" t="s">
        <v>5</v>
      </c>
      <c r="B241" s="5" t="s">
        <v>6</v>
      </c>
      <c r="C241" s="5" t="s">
        <v>7</v>
      </c>
      <c r="D241" t="s">
        <v>171</v>
      </c>
      <c r="E241" t="str">
        <f>E174</f>
        <v>PJ/yr.</v>
      </c>
      <c r="F241" s="1">
        <f>'[1]Electricity and CHPs'!B$107</f>
        <v>0</v>
      </c>
      <c r="G241" s="1">
        <f>'[1]Electricity and CHPs'!C$107</f>
        <v>0</v>
      </c>
      <c r="H241" s="1">
        <f>'[1]Electricity and CHPs'!D$107</f>
        <v>0</v>
      </c>
      <c r="I241" s="1">
        <f>'[1]Electricity and CHPs'!E$107</f>
        <v>1.146507285725537E-4</v>
      </c>
      <c r="J241" s="1">
        <f>'[1]Electricity and CHPs'!F$107</f>
        <v>1.2245826945008296E-3</v>
      </c>
      <c r="K241" s="1">
        <f>'[1]Electricity and CHPs'!G$107</f>
        <v>4.12515988190692E-4</v>
      </c>
    </row>
    <row r="242" spans="1:11" x14ac:dyDescent="0.35">
      <c r="A242" s="5" t="s">
        <v>5</v>
      </c>
      <c r="B242" s="5" t="s">
        <v>6</v>
      </c>
      <c r="C242" s="5" t="s">
        <v>7</v>
      </c>
      <c r="D242" t="s">
        <v>172</v>
      </c>
      <c r="E242" t="str">
        <f>E197</f>
        <v>PJ/yr.</v>
      </c>
      <c r="F242" s="1">
        <f>'[1]Electricity and CHPs'!B$109</f>
        <v>3.6034827791580917E-2</v>
      </c>
      <c r="G242" s="1">
        <f>'[1]Electricity and CHPs'!C$109</f>
        <v>5.761171189412973E-3</v>
      </c>
      <c r="H242" s="1">
        <f>'[1]Electricity and CHPs'!D$109</f>
        <v>1.1554329626427762E-2</v>
      </c>
      <c r="I242" s="1">
        <f>'[1]Electricity and CHPs'!E$109</f>
        <v>1.8023114344177082E-2</v>
      </c>
      <c r="J242" s="1">
        <f>'[1]Electricity and CHPs'!F$109</f>
        <v>7.002435516348598E-3</v>
      </c>
      <c r="K242" s="1">
        <f>'[1]Electricity and CHPs'!G$109</f>
        <v>3.8090196979533486E-4</v>
      </c>
    </row>
    <row r="243" spans="1:11" x14ac:dyDescent="0.35">
      <c r="A243" s="5" t="s">
        <v>5</v>
      </c>
      <c r="B243" s="5" t="s">
        <v>6</v>
      </c>
      <c r="C243" s="5" t="s">
        <v>7</v>
      </c>
      <c r="D243" t="s">
        <v>173</v>
      </c>
      <c r="E243" t="str">
        <f>E199</f>
        <v>PJ/yr.</v>
      </c>
      <c r="F243" s="1">
        <f>'[1]Electricity and CHPs'!B$111</f>
        <v>0</v>
      </c>
      <c r="G243" s="1">
        <f>'[1]Electricity and CHPs'!C$111</f>
        <v>0</v>
      </c>
      <c r="H243" s="1">
        <f>'[1]Electricity and CHPs'!D$111</f>
        <v>0</v>
      </c>
      <c r="I243" s="1">
        <f>'[1]Electricity and CHPs'!E$111</f>
        <v>0</v>
      </c>
      <c r="J243" s="1">
        <f>'[1]Electricity and CHPs'!F$111</f>
        <v>0</v>
      </c>
      <c r="K243" s="1">
        <f>'[1]Electricity and CHPs'!G$111</f>
        <v>0</v>
      </c>
    </row>
    <row r="244" spans="1:11" x14ac:dyDescent="0.35">
      <c r="A244" s="5" t="s">
        <v>5</v>
      </c>
      <c r="B244" s="5" t="s">
        <v>6</v>
      </c>
      <c r="C244" s="5" t="s">
        <v>7</v>
      </c>
      <c r="D244" t="s">
        <v>174</v>
      </c>
      <c r="E244" t="str">
        <f>E200</f>
        <v>PJ/yr.</v>
      </c>
      <c r="F244" s="1">
        <f>'[1]Electricity and CHPs'!B$112</f>
        <v>8.3633995973009759E-2</v>
      </c>
      <c r="G244" s="1">
        <f>'[1]Electricity and CHPs'!C$112</f>
        <v>0.17808777424515959</v>
      </c>
      <c r="H244" s="1">
        <f>'[1]Electricity and CHPs'!D$112</f>
        <v>0.1797136873783374</v>
      </c>
      <c r="I244" s="1">
        <f>'[1]Electricity and CHPs'!E$112</f>
        <v>0.69571582586154412</v>
      </c>
      <c r="J244" s="1">
        <f>'[1]Electricity and CHPs'!F$112</f>
        <v>0.32840374400308886</v>
      </c>
      <c r="K244" s="1">
        <f>'[1]Electricity and CHPs'!G$112</f>
        <v>4.0302269708790742E-4</v>
      </c>
    </row>
    <row r="245" spans="1:11" x14ac:dyDescent="0.35">
      <c r="A245" s="5" t="s">
        <v>5</v>
      </c>
      <c r="B245" s="5" t="s">
        <v>6</v>
      </c>
      <c r="C245" s="5" t="s">
        <v>7</v>
      </c>
      <c r="D245" t="s">
        <v>175</v>
      </c>
      <c r="E245" t="str">
        <f>E202</f>
        <v>PJ/yr.</v>
      </c>
      <c r="F245" s="1">
        <f>'[1]Electricity and CHPs'!B$114</f>
        <v>0</v>
      </c>
      <c r="G245" s="1">
        <f>'[1]Electricity and CHPs'!C$114</f>
        <v>0</v>
      </c>
      <c r="H245" s="1">
        <f>'[1]Electricity and CHPs'!D$114</f>
        <v>0</v>
      </c>
      <c r="I245" s="1">
        <f>'[1]Electricity and CHPs'!E$114</f>
        <v>0</v>
      </c>
      <c r="J245" s="1">
        <f>'[1]Electricity and CHPs'!F$114</f>
        <v>0</v>
      </c>
      <c r="K245" s="1">
        <f>'[1]Electricity and CHPs'!G$114</f>
        <v>0</v>
      </c>
    </row>
    <row r="246" spans="1:11" x14ac:dyDescent="0.35">
      <c r="A246" s="5" t="s">
        <v>5</v>
      </c>
      <c r="B246" s="5" t="s">
        <v>6</v>
      </c>
      <c r="C246" s="5" t="s">
        <v>7</v>
      </c>
      <c r="D246" t="s">
        <v>176</v>
      </c>
      <c r="E246" t="str">
        <f>E226</f>
        <v>PJ/yr.</v>
      </c>
      <c r="F246" s="1">
        <f>'[1]Electricity and CHPs'!B$115</f>
        <v>1.4243236902651357</v>
      </c>
      <c r="G246" s="1">
        <f>'[1]Electricity and CHPs'!C$115</f>
        <v>1.5783245600643179</v>
      </c>
      <c r="H246" s="1">
        <f>'[1]Electricity and CHPs'!D$115</f>
        <v>1.4829184121817161</v>
      </c>
      <c r="I246" s="1">
        <f>'[1]Electricity and CHPs'!E$115</f>
        <v>1.3239157289550172</v>
      </c>
      <c r="J246" s="1">
        <f>'[1]Electricity and CHPs'!F$115</f>
        <v>1.0059124917782782</v>
      </c>
      <c r="K246" s="1">
        <f>'[1]Electricity and CHPs'!G$115</f>
        <v>1.0059100002944816</v>
      </c>
    </row>
    <row r="247" spans="1:11" x14ac:dyDescent="0.35">
      <c r="A247" s="5" t="s">
        <v>5</v>
      </c>
      <c r="B247" s="5" t="s">
        <v>6</v>
      </c>
      <c r="C247" s="5" t="s">
        <v>7</v>
      </c>
      <c r="D247" t="s">
        <v>177</v>
      </c>
      <c r="E247" t="str">
        <f>E228</f>
        <v>PJ/yr.</v>
      </c>
      <c r="F247" s="1">
        <f>'[1]Electricity and CHPs'!B$116</f>
        <v>0.69258878853188333</v>
      </c>
      <c r="G247" s="1">
        <f>'[1]Electricity and CHPs'!C$116</f>
        <v>0.75020826225735937</v>
      </c>
      <c r="H247" s="1">
        <f>'[1]Electricity and CHPs'!D$116</f>
        <v>0.2076965188510336</v>
      </c>
      <c r="I247" s="1">
        <f>'[1]Electricity and CHPs'!E$116</f>
        <v>0.22208427754866869</v>
      </c>
      <c r="J247" s="1">
        <f>'[1]Electricity and CHPs'!F$116</f>
        <v>0.18208827088123872</v>
      </c>
      <c r="K247" s="1">
        <f>'[1]Electricity and CHPs'!G$116</f>
        <v>0</v>
      </c>
    </row>
    <row r="248" spans="1:11" x14ac:dyDescent="0.35">
      <c r="A248" s="5" t="s">
        <v>5</v>
      </c>
      <c r="B248" s="5" t="s">
        <v>6</v>
      </c>
      <c r="C248" s="5" t="s">
        <v>7</v>
      </c>
      <c r="D248" t="s">
        <v>178</v>
      </c>
      <c r="E248" t="str">
        <f>E230</f>
        <v>PJ/yr.</v>
      </c>
      <c r="F248" s="1">
        <f>'[1]Electricity and CHPs'!B$118</f>
        <v>0</v>
      </c>
      <c r="G248" s="1">
        <f>'[1]Electricity and CHPs'!C$118</f>
        <v>0</v>
      </c>
      <c r="H248" s="1">
        <f>'[1]Electricity and CHPs'!D$118</f>
        <v>0</v>
      </c>
      <c r="I248" s="1">
        <f>'[1]Electricity and CHPs'!E$118</f>
        <v>0</v>
      </c>
      <c r="J248" s="1">
        <f>'[1]Electricity and CHPs'!F$118</f>
        <v>0</v>
      </c>
      <c r="K248" s="1">
        <f>'[1]Electricity and CHPs'!G$118</f>
        <v>0</v>
      </c>
    </row>
    <row r="249" spans="1:11" x14ac:dyDescent="0.35">
      <c r="A249" s="5" t="s">
        <v>5</v>
      </c>
      <c r="B249" s="5" t="s">
        <v>6</v>
      </c>
      <c r="C249" s="5" t="s">
        <v>7</v>
      </c>
      <c r="D249" t="s">
        <v>839</v>
      </c>
      <c r="E249" t="str">
        <f>E172</f>
        <v>PJ/yr.</v>
      </c>
      <c r="F249" s="1">
        <f>SUM(F250:F259)</f>
        <v>1.5409704004675848</v>
      </c>
      <c r="G249" s="1">
        <f t="shared" ref="G249:K249" si="148">SUM(G250:G259)</f>
        <v>1.0128229124379</v>
      </c>
      <c r="H249" s="1">
        <f t="shared" si="148"/>
        <v>0.43675061086206246</v>
      </c>
      <c r="I249" s="1">
        <f t="shared" si="148"/>
        <v>1.033499498204413</v>
      </c>
      <c r="J249" s="1">
        <f t="shared" si="148"/>
        <v>1.1257704515425551</v>
      </c>
      <c r="K249" s="1">
        <f t="shared" si="148"/>
        <v>0.30397553449745768</v>
      </c>
    </row>
    <row r="250" spans="1:11" x14ac:dyDescent="0.35">
      <c r="A250" s="5" t="s">
        <v>5</v>
      </c>
      <c r="B250" s="5" t="s">
        <v>6</v>
      </c>
      <c r="C250" s="5" t="s">
        <v>7</v>
      </c>
      <c r="D250" t="s">
        <v>569</v>
      </c>
      <c r="E250" t="str">
        <f>E172</f>
        <v>PJ/yr.</v>
      </c>
      <c r="F250" s="1">
        <f t="shared" ref="F250:K252" si="149">F239-F261</f>
        <v>0.74919729555330195</v>
      </c>
      <c r="G250" s="1">
        <f t="shared" si="149"/>
        <v>9.9319729332546292E-2</v>
      </c>
      <c r="H250" s="1">
        <f t="shared" si="149"/>
        <v>5.5738846947256483E-2</v>
      </c>
      <c r="I250" s="1">
        <f t="shared" si="149"/>
        <v>0.11359018383619121</v>
      </c>
      <c r="J250" s="1">
        <f t="shared" si="149"/>
        <v>0.66576771133486012</v>
      </c>
      <c r="K250" s="1">
        <f t="shared" si="149"/>
        <v>0.19199945098687565</v>
      </c>
    </row>
    <row r="251" spans="1:11" x14ac:dyDescent="0.35">
      <c r="A251" s="5" t="s">
        <v>5</v>
      </c>
      <c r="B251" s="5" t="s">
        <v>6</v>
      </c>
      <c r="C251" s="5" t="s">
        <v>7</v>
      </c>
      <c r="D251" t="s">
        <v>570</v>
      </c>
      <c r="E251" t="str">
        <f>E173</f>
        <v>PJ/yr.</v>
      </c>
      <c r="F251" s="1">
        <f t="shared" si="149"/>
        <v>0</v>
      </c>
      <c r="G251" s="1">
        <f t="shared" si="149"/>
        <v>0</v>
      </c>
      <c r="H251" s="1">
        <f t="shared" si="149"/>
        <v>0</v>
      </c>
      <c r="I251" s="1">
        <f t="shared" si="149"/>
        <v>0</v>
      </c>
      <c r="J251" s="1">
        <f t="shared" si="149"/>
        <v>1.8046467539090589E-3</v>
      </c>
      <c r="K251" s="1">
        <f t="shared" si="149"/>
        <v>0.11102309887381406</v>
      </c>
    </row>
    <row r="252" spans="1:11" x14ac:dyDescent="0.35">
      <c r="A252" s="5" t="s">
        <v>5</v>
      </c>
      <c r="B252" s="5" t="s">
        <v>6</v>
      </c>
      <c r="C252" s="5" t="s">
        <v>7</v>
      </c>
      <c r="D252" t="s">
        <v>571</v>
      </c>
      <c r="E252" t="str">
        <f>E174</f>
        <v>PJ/yr.</v>
      </c>
      <c r="F252" s="1">
        <f t="shared" si="149"/>
        <v>0</v>
      </c>
      <c r="G252" s="1">
        <f t="shared" si="149"/>
        <v>0</v>
      </c>
      <c r="H252" s="1">
        <f t="shared" si="149"/>
        <v>0</v>
      </c>
      <c r="I252" s="1">
        <f t="shared" si="149"/>
        <v>1.126872591275164E-4</v>
      </c>
      <c r="J252" s="1">
        <f t="shared" si="149"/>
        <v>1.0817059334582515E-3</v>
      </c>
      <c r="K252" s="1">
        <f t="shared" si="149"/>
        <v>1.6905996988468501E-4</v>
      </c>
    </row>
    <row r="253" spans="1:11" x14ac:dyDescent="0.35">
      <c r="A253" s="5" t="s">
        <v>5</v>
      </c>
      <c r="B253" s="5" t="s">
        <v>6</v>
      </c>
      <c r="C253" s="5" t="s">
        <v>7</v>
      </c>
      <c r="D253" t="s">
        <v>572</v>
      </c>
      <c r="E253" t="str">
        <f>E197</f>
        <v>PJ/yr.</v>
      </c>
      <c r="F253" s="1">
        <f>F242-F264</f>
        <v>3.512605736611743E-2</v>
      </c>
      <c r="G253" s="1">
        <f t="shared" ref="G253:K253" si="150">G242-G264</f>
        <v>5.6343960269287759E-3</v>
      </c>
      <c r="H253" s="1">
        <f t="shared" si="150"/>
        <v>1.1034403101456411E-2</v>
      </c>
      <c r="I253" s="1">
        <f t="shared" si="150"/>
        <v>1.7714456608113847E-2</v>
      </c>
      <c r="J253" s="1">
        <f t="shared" si="150"/>
        <v>6.1854345000201556E-3</v>
      </c>
      <c r="K253" s="1">
        <f t="shared" si="150"/>
        <v>3.8090196979533486E-4</v>
      </c>
    </row>
    <row r="254" spans="1:11" x14ac:dyDescent="0.35">
      <c r="A254" s="5" t="s">
        <v>5</v>
      </c>
      <c r="B254" s="5" t="s">
        <v>6</v>
      </c>
      <c r="C254" s="5" t="s">
        <v>7</v>
      </c>
      <c r="D254" t="s">
        <v>573</v>
      </c>
      <c r="E254" t="str">
        <f>E199</f>
        <v>PJ/yr.</v>
      </c>
      <c r="F254" s="1">
        <f t="shared" ref="F254:K254" si="151">F243-F265</f>
        <v>0</v>
      </c>
      <c r="G254" s="1">
        <f t="shared" si="151"/>
        <v>0</v>
      </c>
      <c r="H254" s="1">
        <f t="shared" si="151"/>
        <v>0</v>
      </c>
      <c r="I254" s="1">
        <f t="shared" si="151"/>
        <v>0</v>
      </c>
      <c r="J254" s="1">
        <f t="shared" si="151"/>
        <v>0</v>
      </c>
      <c r="K254" s="1">
        <f t="shared" si="151"/>
        <v>0</v>
      </c>
    </row>
    <row r="255" spans="1:11" x14ac:dyDescent="0.35">
      <c r="A255" s="5" t="s">
        <v>5</v>
      </c>
      <c r="B255" s="5" t="s">
        <v>6</v>
      </c>
      <c r="C255" s="5" t="s">
        <v>7</v>
      </c>
      <c r="D255" t="s">
        <v>574</v>
      </c>
      <c r="E255" t="str">
        <f>E201</f>
        <v>PJ/yr.</v>
      </c>
      <c r="F255" s="1">
        <f t="shared" ref="F255:K255" si="152">F244-F266</f>
        <v>8.152481142124228E-2</v>
      </c>
      <c r="G255" s="1">
        <f t="shared" si="152"/>
        <v>0.17416893452071813</v>
      </c>
      <c r="H255" s="1">
        <f t="shared" si="152"/>
        <v>0.1716268562086008</v>
      </c>
      <c r="I255" s="1">
        <f t="shared" si="152"/>
        <v>0.68380123287538985</v>
      </c>
      <c r="J255" s="1">
        <f t="shared" si="152"/>
        <v>0.29008761927903043</v>
      </c>
      <c r="K255" s="1">
        <f t="shared" si="152"/>
        <v>4.0302269708790742E-4</v>
      </c>
    </row>
    <row r="256" spans="1:11" x14ac:dyDescent="0.35">
      <c r="A256" s="5" t="s">
        <v>5</v>
      </c>
      <c r="B256" s="5" t="s">
        <v>6</v>
      </c>
      <c r="C256" s="5" t="s">
        <v>7</v>
      </c>
      <c r="D256" t="s">
        <v>575</v>
      </c>
      <c r="E256" t="str">
        <f>E202</f>
        <v>PJ/yr.</v>
      </c>
      <c r="F256" s="1">
        <f t="shared" ref="F256:K257" si="153">F245-F267</f>
        <v>0</v>
      </c>
      <c r="G256" s="1">
        <f t="shared" si="153"/>
        <v>0</v>
      </c>
      <c r="H256" s="1">
        <f t="shared" si="153"/>
        <v>0</v>
      </c>
      <c r="I256" s="1">
        <f t="shared" si="153"/>
        <v>0</v>
      </c>
      <c r="J256" s="1">
        <f t="shared" si="153"/>
        <v>0</v>
      </c>
      <c r="K256" s="1">
        <f t="shared" si="153"/>
        <v>0</v>
      </c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576</v>
      </c>
      <c r="E257" t="str">
        <f>E239</f>
        <v>PJ/yr.</v>
      </c>
      <c r="F257" s="1">
        <f t="shared" si="153"/>
        <v>0</v>
      </c>
      <c r="G257" s="1">
        <f t="shared" ref="G257:K257" si="154">G246-G268</f>
        <v>0</v>
      </c>
      <c r="H257" s="1">
        <f t="shared" si="154"/>
        <v>0</v>
      </c>
      <c r="I257" s="1">
        <f t="shared" si="154"/>
        <v>0</v>
      </c>
      <c r="J257" s="1">
        <f t="shared" si="154"/>
        <v>0</v>
      </c>
      <c r="K257" s="1">
        <f t="shared" si="154"/>
        <v>0</v>
      </c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577</v>
      </c>
      <c r="E258" t="str">
        <f>E241</f>
        <v>PJ/yr.</v>
      </c>
      <c r="F258" s="1">
        <f t="shared" ref="F258:K258" si="155">F247-F269</f>
        <v>0.67512223612692324</v>
      </c>
      <c r="G258" s="1">
        <f t="shared" si="155"/>
        <v>0.73369985255770687</v>
      </c>
      <c r="H258" s="1">
        <f t="shared" si="155"/>
        <v>0.19835050460474876</v>
      </c>
      <c r="I258" s="1">
        <f t="shared" si="155"/>
        <v>0.21828093762559053</v>
      </c>
      <c r="J258" s="1">
        <f t="shared" si="155"/>
        <v>0.16084333374127707</v>
      </c>
      <c r="K258" s="1">
        <f t="shared" si="155"/>
        <v>0</v>
      </c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578</v>
      </c>
      <c r="E259" t="str">
        <f>E243</f>
        <v>PJ/yr.</v>
      </c>
      <c r="F259" s="1">
        <f t="shared" ref="F259:K259" si="156">F248-F270</f>
        <v>0</v>
      </c>
      <c r="G259" s="1">
        <f t="shared" si="156"/>
        <v>0</v>
      </c>
      <c r="H259" s="1">
        <f t="shared" si="156"/>
        <v>0</v>
      </c>
      <c r="I259" s="1">
        <f t="shared" si="156"/>
        <v>0</v>
      </c>
      <c r="J259" s="1">
        <f t="shared" si="156"/>
        <v>0</v>
      </c>
      <c r="K259" s="1">
        <f t="shared" si="156"/>
        <v>0</v>
      </c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840</v>
      </c>
      <c r="E260" t="str">
        <f>E173</f>
        <v>PJ/yr.</v>
      </c>
      <c r="F260" s="1">
        <f>SUM(F261:F270)</f>
        <v>1.4641911969386967</v>
      </c>
      <c r="G260" s="1">
        <f t="shared" ref="G260:K260" si="157">SUM(G261:G270)</f>
        <v>1.6011133006282328</v>
      </c>
      <c r="H260" s="1">
        <f t="shared" si="157"/>
        <v>1.5034975250976341</v>
      </c>
      <c r="I260" s="1">
        <f t="shared" si="157"/>
        <v>1.3419234851281392</v>
      </c>
      <c r="J260" s="1">
        <f t="shared" si="157"/>
        <v>1.1546094997345988</v>
      </c>
      <c r="K260" s="1">
        <f t="shared" si="157"/>
        <v>1.4425232456623123</v>
      </c>
      <c r="M260" s="1"/>
      <c r="N260" s="1"/>
      <c r="O260" s="1"/>
      <c r="P260" s="1"/>
      <c r="Q260" s="1"/>
      <c r="R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630</v>
      </c>
      <c r="E261" t="str">
        <f>E175</f>
        <v>PJ/yr.</v>
      </c>
      <c r="F261" s="1">
        <f t="shared" ref="F261:K270" si="158">F239*IFERROR(F118/F86,0)</f>
        <v>1.9382999291369787E-2</v>
      </c>
      <c r="G261" s="1">
        <f t="shared" si="158"/>
        <v>2.2347159773366786E-3</v>
      </c>
      <c r="H261" s="1">
        <f t="shared" si="158"/>
        <v>2.6263409749252412E-3</v>
      </c>
      <c r="I261" s="1">
        <f t="shared" si="158"/>
        <v>1.9792020583813226E-3</v>
      </c>
      <c r="J261" s="1">
        <f t="shared" si="158"/>
        <v>8.793770216101543E-2</v>
      </c>
      <c r="K261" s="1">
        <f t="shared" si="158"/>
        <v>0.27649018207022957</v>
      </c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631</v>
      </c>
      <c r="E262" t="str">
        <f>E176</f>
        <v>PJ/yr.</v>
      </c>
      <c r="F262" s="1">
        <f t="shared" si="158"/>
        <v>0</v>
      </c>
      <c r="G262" s="1">
        <f t="shared" si="158"/>
        <v>0</v>
      </c>
      <c r="H262" s="1">
        <f t="shared" si="158"/>
        <v>0</v>
      </c>
      <c r="I262" s="1">
        <f t="shared" si="158"/>
        <v>0</v>
      </c>
      <c r="J262" s="1">
        <f t="shared" si="158"/>
        <v>2.3836615391412223E-4</v>
      </c>
      <c r="K262" s="1">
        <f t="shared" si="158"/>
        <v>0.15987960727929512</v>
      </c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632</v>
      </c>
      <c r="E263" t="str">
        <f>E177</f>
        <v>PJ/yr.</v>
      </c>
      <c r="F263" s="1">
        <f t="shared" si="158"/>
        <v>0</v>
      </c>
      <c r="G263" s="1">
        <f t="shared" si="158"/>
        <v>0</v>
      </c>
      <c r="H263" s="1">
        <f t="shared" si="158"/>
        <v>0</v>
      </c>
      <c r="I263" s="1">
        <f t="shared" si="158"/>
        <v>1.9634694450372884E-6</v>
      </c>
      <c r="J263" s="1">
        <f t="shared" si="158"/>
        <v>1.4287676104257808E-4</v>
      </c>
      <c r="K263" s="1">
        <f t="shared" si="158"/>
        <v>2.4345601830600699E-4</v>
      </c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633</v>
      </c>
      <c r="E264" t="str">
        <f>E203</f>
        <v>PJ/yr.</v>
      </c>
      <c r="F264" s="1">
        <f t="shared" si="158"/>
        <v>9.0877042546348805E-4</v>
      </c>
      <c r="G264" s="1">
        <f t="shared" si="158"/>
        <v>1.2677516248419714E-4</v>
      </c>
      <c r="H264" s="1">
        <f t="shared" si="158"/>
        <v>5.199265249713524E-4</v>
      </c>
      <c r="I264" s="1">
        <f t="shared" si="158"/>
        <v>3.0865773606323586E-4</v>
      </c>
      <c r="J264" s="1">
        <f t="shared" si="158"/>
        <v>8.1700101632844265E-4</v>
      </c>
      <c r="K264" s="1">
        <f t="shared" si="158"/>
        <v>0</v>
      </c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634</v>
      </c>
      <c r="E265" t="str">
        <f>E205</f>
        <v>PJ/yr.</v>
      </c>
      <c r="F265" s="1">
        <f t="shared" si="158"/>
        <v>0</v>
      </c>
      <c r="G265" s="1">
        <f t="shared" si="158"/>
        <v>0</v>
      </c>
      <c r="H265" s="1">
        <f t="shared" si="158"/>
        <v>0</v>
      </c>
      <c r="I265" s="1">
        <f t="shared" si="158"/>
        <v>0</v>
      </c>
      <c r="J265" s="1">
        <f t="shared" si="158"/>
        <v>0</v>
      </c>
      <c r="K265" s="1">
        <f t="shared" si="158"/>
        <v>0</v>
      </c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635</v>
      </c>
      <c r="E266" t="str">
        <f>E207</f>
        <v>PJ/yr.</v>
      </c>
      <c r="F266" s="1">
        <f t="shared" si="158"/>
        <v>2.1091845517674742E-3</v>
      </c>
      <c r="G266" s="1">
        <f t="shared" si="158"/>
        <v>3.9188397244414447E-3</v>
      </c>
      <c r="H266" s="1">
        <f t="shared" si="158"/>
        <v>8.0868311697365886E-3</v>
      </c>
      <c r="I266" s="1">
        <f t="shared" si="158"/>
        <v>1.1914592986154268E-2</v>
      </c>
      <c r="J266" s="1">
        <f t="shared" si="158"/>
        <v>3.8316124724058417E-2</v>
      </c>
      <c r="K266" s="1">
        <f t="shared" si="158"/>
        <v>0</v>
      </c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636</v>
      </c>
      <c r="E267" t="str">
        <f>E208</f>
        <v>PJ/yr.</v>
      </c>
      <c r="F267" s="1">
        <f t="shared" si="158"/>
        <v>0</v>
      </c>
      <c r="G267" s="1">
        <f t="shared" si="158"/>
        <v>0</v>
      </c>
      <c r="H267" s="1">
        <f t="shared" si="158"/>
        <v>0</v>
      </c>
      <c r="I267" s="1">
        <f t="shared" si="158"/>
        <v>0</v>
      </c>
      <c r="J267" s="1">
        <f t="shared" si="158"/>
        <v>0</v>
      </c>
      <c r="K267" s="1">
        <f t="shared" si="158"/>
        <v>0</v>
      </c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637</v>
      </c>
      <c r="E268" t="str">
        <f>E231</f>
        <v>PJ/yr.</v>
      </c>
      <c r="F268" s="1">
        <f t="shared" si="158"/>
        <v>1.4243236902651357</v>
      </c>
      <c r="G268" s="1">
        <f t="shared" si="158"/>
        <v>1.5783245600643179</v>
      </c>
      <c r="H268" s="1">
        <f t="shared" si="158"/>
        <v>1.4829184121817161</v>
      </c>
      <c r="I268" s="1">
        <f t="shared" si="158"/>
        <v>1.3239157289550172</v>
      </c>
      <c r="J268" s="1">
        <f t="shared" si="158"/>
        <v>1.0059124917782782</v>
      </c>
      <c r="K268" s="1">
        <f t="shared" si="158"/>
        <v>1.0059100002944816</v>
      </c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638</v>
      </c>
      <c r="E269" t="str">
        <f>E233</f>
        <v>PJ/yr.</v>
      </c>
      <c r="F269" s="1">
        <f t="shared" si="158"/>
        <v>1.7466552404960114E-2</v>
      </c>
      <c r="G269" s="1">
        <f t="shared" si="158"/>
        <v>1.6508409699652546E-2</v>
      </c>
      <c r="H269" s="1">
        <f t="shared" si="158"/>
        <v>9.3460142462848412E-3</v>
      </c>
      <c r="I269" s="1">
        <f t="shared" si="158"/>
        <v>3.8033399230781623E-3</v>
      </c>
      <c r="J269" s="1">
        <f t="shared" si="158"/>
        <v>2.1244937139961641E-2</v>
      </c>
      <c r="K269" s="1">
        <f t="shared" si="158"/>
        <v>0</v>
      </c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639</v>
      </c>
      <c r="E270" t="str">
        <f>E237</f>
        <v>PJ/yr.</v>
      </c>
      <c r="F270" s="1">
        <f t="shared" si="158"/>
        <v>0</v>
      </c>
      <c r="G270" s="1">
        <f t="shared" si="158"/>
        <v>0</v>
      </c>
      <c r="H270" s="1">
        <f t="shared" si="158"/>
        <v>0</v>
      </c>
      <c r="I270" s="1">
        <f t="shared" si="158"/>
        <v>0</v>
      </c>
      <c r="J270" s="1">
        <f t="shared" si="158"/>
        <v>0</v>
      </c>
      <c r="K270" s="1">
        <f t="shared" si="158"/>
        <v>0</v>
      </c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841</v>
      </c>
      <c r="E271" t="str">
        <f>E177</f>
        <v>PJ/yr.</v>
      </c>
      <c r="F271" s="1">
        <f>SUM(F272:F273)</f>
        <v>1.9348446338597027</v>
      </c>
      <c r="G271" s="1">
        <f t="shared" ref="G271:K271" si="159">SUM(G272:G273)</f>
        <v>1.8587815010417565</v>
      </c>
      <c r="H271" s="1">
        <f t="shared" si="159"/>
        <v>2.5502954568700198</v>
      </c>
      <c r="I271" s="1">
        <f t="shared" si="159"/>
        <v>2.2433433503462705</v>
      </c>
      <c r="J271" s="1">
        <f t="shared" si="159"/>
        <v>1.6037385552976491</v>
      </c>
      <c r="K271" s="1">
        <f t="shared" si="159"/>
        <v>2.0113385124123133</v>
      </c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179</v>
      </c>
      <c r="E272" t="str">
        <f>E178</f>
        <v>PJ/yr.</v>
      </c>
      <c r="F272" s="1">
        <f>'[1]Electricity and CHPs'!B$106-F273</f>
        <v>1.9348446338597027</v>
      </c>
      <c r="G272" s="1">
        <f>'[1]Electricity and CHPs'!C$106-G273</f>
        <v>1.8587815010417565</v>
      </c>
      <c r="H272" s="1">
        <f>'[1]Electricity and CHPs'!D$106-H273</f>
        <v>2.5502954568700198</v>
      </c>
      <c r="I272" s="1">
        <f>'[1]Electricity and CHPs'!E$106-I273</f>
        <v>2.2433433503462705</v>
      </c>
      <c r="J272" s="1">
        <f>'[1]Electricity and CHPs'!F$106-J273</f>
        <v>1.102499239744883</v>
      </c>
      <c r="K272" s="1">
        <f>'[1]Electricity and CHPs'!G$106-K273</f>
        <v>2.0949859311203411E-4</v>
      </c>
    </row>
    <row r="273" spans="1:11" x14ac:dyDescent="0.35">
      <c r="A273" s="5" t="s">
        <v>5</v>
      </c>
      <c r="B273" s="5" t="s">
        <v>6</v>
      </c>
      <c r="C273" s="5" t="s">
        <v>7</v>
      </c>
      <c r="D273" t="s">
        <v>180</v>
      </c>
      <c r="E273" t="str">
        <f>E179</f>
        <v>PJ/yr.</v>
      </c>
      <c r="F273" s="10" cm="1">
        <f t="array" ref="F273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3" s="10" cm="1">
        <f t="array" ref="G273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3" s="10" cm="1">
        <f t="array" ref="H273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3" s="10" cm="1">
        <f t="array" ref="I273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3" s="10" cm="1">
        <f t="array" ref="J273">SUMPRODUCT((ISNUMBER(SEARCH("itot*CHPWST*ccs*",[1]OUT_Electricity_CHP!$B$1:$B$10000)))*1,([1]OUT_Electricity_CHP!$C$1:$C$10000="Var_Fout")*1,+([1]OUT_Electricity_CHP!$D$1:$D$10000="ITOT_LTH_CHP")*1,[1]OUT_Electricity_CHP!I$1:I$10000)</f>
        <v>0.50123931555276602</v>
      </c>
      <c r="K273" s="10" cm="1">
        <f t="array" ref="K273">SUMPRODUCT((ISNUMBER(SEARCH("itot*CHPWST*ccs*",[1]OUT_Electricity_CHP!$B$1:$B$10000)))*1,([1]OUT_Electricity_CHP!$C$1:$C$10000="Var_Fout")*1,+([1]OUT_Electricity_CHP!$D$1:$D$10000="ITOT_LTH_CHP")*1,[1]OUT_Electricity_CHP!J$1:J$10000)</f>
        <v>2.0111290138192013</v>
      </c>
    </row>
    <row r="274" spans="1:11" x14ac:dyDescent="0.35">
      <c r="A274" s="5" t="s">
        <v>5</v>
      </c>
      <c r="B274" s="5" t="s">
        <v>6</v>
      </c>
      <c r="C274" s="5" t="s">
        <v>7</v>
      </c>
      <c r="D274" t="s">
        <v>842</v>
      </c>
      <c r="E274" t="str">
        <f>E179</f>
        <v>PJ/yr.</v>
      </c>
      <c r="F274" s="10">
        <f>SUM(F275:F276)</f>
        <v>0</v>
      </c>
      <c r="G274" s="10">
        <f t="shared" ref="G274:K274" si="160">SUM(G275:G276)</f>
        <v>0</v>
      </c>
      <c r="H274" s="10">
        <f t="shared" si="160"/>
        <v>0</v>
      </c>
      <c r="I274" s="10">
        <f t="shared" si="160"/>
        <v>0</v>
      </c>
      <c r="J274" s="10">
        <f t="shared" si="160"/>
        <v>0</v>
      </c>
      <c r="K274" s="10">
        <f t="shared" si="160"/>
        <v>0</v>
      </c>
    </row>
    <row r="275" spans="1:11" x14ac:dyDescent="0.35">
      <c r="A275" s="5" t="s">
        <v>5</v>
      </c>
      <c r="B275" s="5" t="s">
        <v>6</v>
      </c>
      <c r="C275" s="5" t="s">
        <v>7</v>
      </c>
      <c r="D275" t="s">
        <v>181</v>
      </c>
      <c r="E275" t="str">
        <f>E180</f>
        <v>PJ/yr.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 x14ac:dyDescent="0.35">
      <c r="A276" s="5" t="s">
        <v>5</v>
      </c>
      <c r="B276" s="5" t="s">
        <v>6</v>
      </c>
      <c r="C276" s="5" t="s">
        <v>7</v>
      </c>
      <c r="D276" t="s">
        <v>182</v>
      </c>
      <c r="E276" t="str">
        <f>E181</f>
        <v>PJ/yr.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 x14ac:dyDescent="0.35">
      <c r="A277" s="5" t="s">
        <v>5</v>
      </c>
      <c r="B277" s="5" t="s">
        <v>6</v>
      </c>
      <c r="C277" s="5" t="s">
        <v>7</v>
      </c>
      <c r="D277" t="s">
        <v>843</v>
      </c>
      <c r="E277" t="str">
        <f>E182</f>
        <v>PJ/yr.</v>
      </c>
      <c r="F277" s="1">
        <f>SUM(F278:F279)</f>
        <v>1.9348446338597027</v>
      </c>
      <c r="G277" s="1">
        <f t="shared" ref="G277:K277" si="161">SUM(G278:G279)</f>
        <v>1.8587815010417565</v>
      </c>
      <c r="H277" s="1">
        <f t="shared" si="161"/>
        <v>2.5502954568700198</v>
      </c>
      <c r="I277" s="1">
        <f t="shared" si="161"/>
        <v>2.2433433503462705</v>
      </c>
      <c r="J277" s="1">
        <f t="shared" si="161"/>
        <v>1.6037385552976491</v>
      </c>
      <c r="K277" s="1">
        <f t="shared" si="161"/>
        <v>2.0113385124123133</v>
      </c>
    </row>
    <row r="278" spans="1:11" x14ac:dyDescent="0.35">
      <c r="A278" s="5" t="s">
        <v>5</v>
      </c>
      <c r="B278" s="5" t="s">
        <v>6</v>
      </c>
      <c r="C278" s="5" t="s">
        <v>7</v>
      </c>
      <c r="D278" t="s">
        <v>183</v>
      </c>
      <c r="E278" t="str">
        <f>E183</f>
        <v>PJ/yr.</v>
      </c>
      <c r="F278" s="1">
        <f>F272</f>
        <v>1.9348446338597027</v>
      </c>
      <c r="G278" s="1">
        <f t="shared" ref="G278:K278" si="162">G272</f>
        <v>1.8587815010417565</v>
      </c>
      <c r="H278" s="1">
        <f t="shared" si="162"/>
        <v>2.5502954568700198</v>
      </c>
      <c r="I278" s="1">
        <f t="shared" si="162"/>
        <v>2.2433433503462705</v>
      </c>
      <c r="J278" s="1">
        <f t="shared" si="162"/>
        <v>1.102499239744883</v>
      </c>
      <c r="K278" s="1">
        <f t="shared" si="162"/>
        <v>2.0949859311203411E-4</v>
      </c>
    </row>
    <row r="279" spans="1:11" x14ac:dyDescent="0.35">
      <c r="A279" s="5" t="s">
        <v>5</v>
      </c>
      <c r="B279" s="5" t="s">
        <v>6</v>
      </c>
      <c r="C279" s="5" t="s">
        <v>7</v>
      </c>
      <c r="D279" t="s">
        <v>184</v>
      </c>
      <c r="E279" t="str">
        <f>E185</f>
        <v>PJ/yr.</v>
      </c>
      <c r="F279" s="1">
        <f t="shared" ref="F279:K279" si="163">F273</f>
        <v>0</v>
      </c>
      <c r="G279" s="1">
        <f t="shared" si="163"/>
        <v>0</v>
      </c>
      <c r="H279" s="1">
        <f t="shared" si="163"/>
        <v>0</v>
      </c>
      <c r="I279" s="1">
        <f t="shared" si="163"/>
        <v>0</v>
      </c>
      <c r="J279" s="1">
        <f t="shared" si="163"/>
        <v>0.50123931555276602</v>
      </c>
      <c r="K279" s="1">
        <f t="shared" si="163"/>
        <v>2.0111290138192013</v>
      </c>
    </row>
    <row r="280" spans="1:11" x14ac:dyDescent="0.35">
      <c r="A280" s="5" t="s">
        <v>5</v>
      </c>
      <c r="B280" s="5" t="s">
        <v>6</v>
      </c>
      <c r="C280" s="5" t="s">
        <v>7</v>
      </c>
      <c r="D280" t="s">
        <v>844</v>
      </c>
      <c r="E280" t="str">
        <f>E186</f>
        <v>PJ/yr.</v>
      </c>
      <c r="F280" s="1">
        <f>SUM(F281:F285)</f>
        <v>0.66108307493972751</v>
      </c>
      <c r="G280" s="1">
        <f t="shared" ref="G280:K280" si="164">SUM(G281:G285)</f>
        <v>1.8176325296993388</v>
      </c>
      <c r="H280" s="1">
        <f t="shared" si="164"/>
        <v>3.3366434374530347</v>
      </c>
      <c r="I280" s="1">
        <f t="shared" si="164"/>
        <v>3.9329794731392353</v>
      </c>
      <c r="J280" s="1">
        <f t="shared" si="164"/>
        <v>7.0075054377547747</v>
      </c>
      <c r="K280" s="1">
        <f t="shared" si="164"/>
        <v>9.4821327451883324</v>
      </c>
    </row>
    <row r="281" spans="1:11" x14ac:dyDescent="0.35">
      <c r="A281" s="5" t="s">
        <v>5</v>
      </c>
      <c r="B281" s="5" t="s">
        <v>6</v>
      </c>
      <c r="C281" s="5" t="s">
        <v>7</v>
      </c>
      <c r="D281" t="s">
        <v>185</v>
      </c>
      <c r="E281" t="str">
        <f>E187</f>
        <v>PJ/yr.</v>
      </c>
      <c r="F281" s="1">
        <f>'[1]Electricity and CHPs'!B$105-F282</f>
        <v>0.65962463691138318</v>
      </c>
      <c r="G281" s="1">
        <f>'[1]Electricity and CHPs'!C$105-G282</f>
        <v>1.8167196899986511</v>
      </c>
      <c r="H281" s="1">
        <f>'[1]Electricity and CHPs'!D$105-H282</f>
        <v>3.3360593817489446</v>
      </c>
      <c r="I281" s="1">
        <f>'[1]Electricity and CHPs'!E$105-I282</f>
        <v>3.9240650403853277</v>
      </c>
      <c r="J281" s="1">
        <f>'[1]Electricity and CHPs'!F$105-J282</f>
        <v>3.6356111598913348</v>
      </c>
      <c r="K281" s="1">
        <f>'[1]Electricity and CHPs'!G$105-K282</f>
        <v>3.6284109371024931</v>
      </c>
    </row>
    <row r="282" spans="1:11" x14ac:dyDescent="0.35">
      <c r="A282" s="5" t="s">
        <v>5</v>
      </c>
      <c r="B282" s="5" t="s">
        <v>6</v>
      </c>
      <c r="C282" s="5" t="s">
        <v>7</v>
      </c>
      <c r="D282" t="s">
        <v>186</v>
      </c>
      <c r="E282" t="str">
        <f>E188</f>
        <v>PJ/yr.</v>
      </c>
      <c r="F282" s="1" cm="1">
        <f t="array" ref="F282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2" s="1" cm="1">
        <f t="array" ref="G282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2" s="1" cm="1">
        <f t="array" ref="H282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2" s="1" cm="1">
        <f t="array" ref="I282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2" s="1" cm="1">
        <f t="array" ref="J282">SUMPRODUCT((ISNUMBER(SEARCH("itot*CHPWOD*ccs",[1]OUT_Electricity_CHP!$B$1:$B$10000)))*1,([1]OUT_Electricity_CHP!$C$1:$C$10000="Var_Fout")*1,([1]OUT_Electricity_CHP!$D$1:$D$10000="ITOT_LTH_CHP")*1,[1]OUT_Electricity_CHP!I$1:I$10000)</f>
        <v>2.3755035948996497</v>
      </c>
      <c r="K282" s="1" cm="1">
        <f t="array" ref="K282">SUMPRODUCT((ISNUMBER(SEARCH("itot*CHPWOD*ccs",[1]OUT_Electricity_CHP!$B$1:$B$10000)))*1,([1]OUT_Electricity_CHP!$C$1:$C$10000="Var_Fout")*1,([1]OUT_Electricity_CHP!$D$1:$D$10000="ITOT_LTH_CHP")*1,[1]OUT_Electricity_CHP!J$1:J$10000)</f>
        <v>5.2196380618604996</v>
      </c>
    </row>
    <row r="283" spans="1:11" x14ac:dyDescent="0.35">
      <c r="A283" s="5" t="s">
        <v>5</v>
      </c>
      <c r="B283" s="5" t="s">
        <v>6</v>
      </c>
      <c r="C283" s="5" t="s">
        <v>7</v>
      </c>
      <c r="D283" t="s">
        <v>187</v>
      </c>
      <c r="E283" t="str">
        <f>E210</f>
        <v>PJ/yr.</v>
      </c>
      <c r="F283" s="1">
        <f>'[1]Electricity and CHPs'!B$110</f>
        <v>7.1710965966194655E-4</v>
      </c>
      <c r="G283" s="1">
        <f>'[1]Electricity and CHPs'!C$110</f>
        <v>4.5642096010187747E-4</v>
      </c>
      <c r="H283" s="1">
        <f>'[1]Electricity and CHPs'!D$110</f>
        <v>2.9204837678953571E-4</v>
      </c>
      <c r="I283" s="1">
        <f>'[1]Electricity and CHPs'!E$110</f>
        <v>2.2201291260310154E-3</v>
      </c>
      <c r="J283" s="1">
        <f>'[1]Electricity and CHPs'!F$110</f>
        <v>6.0675238202951096E-3</v>
      </c>
      <c r="K283" s="1">
        <f>'[1]Electricity and CHPs'!G$110</f>
        <v>2.9620186743671345E-3</v>
      </c>
    </row>
    <row r="284" spans="1:11" x14ac:dyDescent="0.35">
      <c r="A284" s="5" t="s">
        <v>5</v>
      </c>
      <c r="B284" s="5" t="s">
        <v>6</v>
      </c>
      <c r="C284" s="5" t="s">
        <v>7</v>
      </c>
      <c r="D284" t="s">
        <v>188</v>
      </c>
      <c r="E284" t="str">
        <f>E214</f>
        <v>PJ/yr.</v>
      </c>
      <c r="F284" s="1">
        <f>'[1]Electricity and CHPs'!B$113</f>
        <v>7.4132836868239177E-4</v>
      </c>
      <c r="G284" s="1">
        <f>'[1]Electricity and CHPs'!C$113</f>
        <v>4.5641874058581158E-4</v>
      </c>
      <c r="H284" s="1">
        <f>'[1]Electricity and CHPs'!D$113</f>
        <v>2.920073273005809E-4</v>
      </c>
      <c r="I284" s="1">
        <f>'[1]Electricity and CHPs'!E$113</f>
        <v>6.1564640454496505E-3</v>
      </c>
      <c r="J284" s="1">
        <f>'[1]Electricity and CHPs'!F$113</f>
        <v>0.98882105968041489</v>
      </c>
      <c r="K284" s="1">
        <f>'[1]Electricity and CHPs'!G$113</f>
        <v>0.6307884226211139</v>
      </c>
    </row>
    <row r="285" spans="1:11" x14ac:dyDescent="0.35">
      <c r="A285" s="5" t="s">
        <v>5</v>
      </c>
      <c r="B285" s="5" t="s">
        <v>6</v>
      </c>
      <c r="C285" s="5" t="s">
        <v>7</v>
      </c>
      <c r="D285" t="s">
        <v>235</v>
      </c>
      <c r="E285" t="str">
        <f>E239</f>
        <v>PJ/yr.</v>
      </c>
      <c r="F285" s="1">
        <f>'[1]Electricity and CHPs'!B$117</f>
        <v>0</v>
      </c>
      <c r="G285" s="1">
        <f>'[1]Electricity and CHPs'!C$117</f>
        <v>0</v>
      </c>
      <c r="H285" s="1">
        <f>'[1]Electricity and CHPs'!D$117</f>
        <v>0</v>
      </c>
      <c r="I285" s="1">
        <f>'[1]Electricity and CHPs'!E$117</f>
        <v>5.3783958242715384E-4</v>
      </c>
      <c r="J285" s="1">
        <f>'[1]Electricity and CHPs'!F$117</f>
        <v>1.5020994630796816E-3</v>
      </c>
      <c r="K285" s="1">
        <f>'[1]Electricity and CHPs'!G$117</f>
        <v>3.3330492985917911E-4</v>
      </c>
    </row>
    <row r="286" spans="1:11" x14ac:dyDescent="0.35">
      <c r="A286" s="5" t="s">
        <v>5</v>
      </c>
      <c r="B286" s="5" t="s">
        <v>6</v>
      </c>
      <c r="C286" s="5" t="s">
        <v>7</v>
      </c>
      <c r="D286" t="s">
        <v>845</v>
      </c>
      <c r="E286" t="str">
        <f>E193</f>
        <v>PJ/yr.</v>
      </c>
      <c r="F286" s="1">
        <f>SUM(F287:F288)</f>
        <v>0</v>
      </c>
      <c r="G286" s="1">
        <f t="shared" ref="G286:K286" si="165">SUM(G287:G288)</f>
        <v>0</v>
      </c>
      <c r="H286" s="1">
        <f t="shared" si="165"/>
        <v>0</v>
      </c>
      <c r="I286" s="1">
        <f t="shared" si="165"/>
        <v>2.604223594083356E-3</v>
      </c>
      <c r="J286" s="1">
        <f t="shared" si="165"/>
        <v>0.26503644631565931</v>
      </c>
      <c r="K286" s="1">
        <f t="shared" si="165"/>
        <v>0.20539959732980781</v>
      </c>
    </row>
    <row r="287" spans="1:11" x14ac:dyDescent="0.35">
      <c r="A287" s="5" t="s">
        <v>5</v>
      </c>
      <c r="B287" s="5" t="s">
        <v>6</v>
      </c>
      <c r="C287" s="5" t="s">
        <v>7</v>
      </c>
      <c r="D287" t="s">
        <v>189</v>
      </c>
      <c r="E287" t="str">
        <f>E194</f>
        <v>PJ/yr.</v>
      </c>
      <c r="F287" s="1">
        <f>'[1]Electricity and CHPs'!B$108</f>
        <v>0</v>
      </c>
      <c r="G287" s="1">
        <f>'[1]Electricity and CHPs'!C$108</f>
        <v>0</v>
      </c>
      <c r="H287" s="1">
        <f>'[1]Electricity and CHPs'!D$108</f>
        <v>0</v>
      </c>
      <c r="I287" s="1">
        <f>'[1]Electricity and CHPs'!E$108</f>
        <v>2.2241668993780309E-3</v>
      </c>
      <c r="J287" s="1">
        <f>'[1]Electricity and CHPs'!F$108</f>
        <v>0.24824907251639999</v>
      </c>
      <c r="K287" s="1">
        <f>'[1]Electricity and CHPs'!G$108</f>
        <v>0.19556716051929929</v>
      </c>
    </row>
    <row r="288" spans="1:11" x14ac:dyDescent="0.35">
      <c r="A288" s="5" t="s">
        <v>5</v>
      </c>
      <c r="B288" s="5" t="s">
        <v>6</v>
      </c>
      <c r="C288" s="5" t="s">
        <v>7</v>
      </c>
      <c r="D288" t="s">
        <v>236</v>
      </c>
      <c r="E288" t="str">
        <f>E241</f>
        <v>PJ/yr.</v>
      </c>
      <c r="F288" s="1">
        <f>'[1]Electricity and CHPs'!B$119</f>
        <v>0</v>
      </c>
      <c r="G288" s="1">
        <f>'[1]Electricity and CHPs'!C$119</f>
        <v>0</v>
      </c>
      <c r="H288" s="1">
        <f>'[1]Electricity and CHPs'!D$119</f>
        <v>0</v>
      </c>
      <c r="I288" s="1">
        <f>'[1]Electricity and CHPs'!E$119</f>
        <v>3.8005669470532499E-4</v>
      </c>
      <c r="J288" s="1">
        <f>'[1]Electricity and CHPs'!F$119</f>
        <v>1.678737379925933E-2</v>
      </c>
      <c r="K288" s="1">
        <f>'[1]Electricity and CHPs'!G$119</f>
        <v>9.8324368105085179E-3</v>
      </c>
    </row>
    <row r="289" spans="1:13" x14ac:dyDescent="0.35">
      <c r="A289" s="5" t="s">
        <v>5</v>
      </c>
      <c r="B289" s="9" t="s">
        <v>6</v>
      </c>
      <c r="C289" s="9" t="s">
        <v>7</v>
      </c>
      <c r="D289" s="2" t="s">
        <v>91</v>
      </c>
      <c r="E289" s="2" t="str">
        <f>E287</f>
        <v>PJ/yr.</v>
      </c>
      <c r="F289" s="3">
        <f>SUM(F290,F292,F296,F308,F356,F377,F385,F387,F395,F399,F393)</f>
        <v>437.59347580054458</v>
      </c>
      <c r="G289" s="3">
        <f t="shared" ref="G289" si="166">SUM(G290,G292,G300,G308,G356,G377,G385,G387,G395,G399,G393)</f>
        <v>419.74442313632278</v>
      </c>
      <c r="H289" s="3">
        <f t="shared" ref="H289" si="167">SUM(H290,H292,H300,H308,H356,H377,H385,H387,H395,H399,H393)</f>
        <v>441.45651059129887</v>
      </c>
      <c r="I289" s="3">
        <f t="shared" ref="I289" si="168">SUM(I290,I292,I300,I308,I356,I377,I385,I387,I395,I399,I393)</f>
        <v>430.70010911682647</v>
      </c>
      <c r="J289" s="3">
        <f t="shared" ref="J289" si="169">SUM(J290,J292,J300,J308,J356,J377,J385,J387,J395,J399,J393)</f>
        <v>366.10006868615244</v>
      </c>
      <c r="K289" s="3">
        <f t="shared" ref="K289" si="170">SUM(K290,K292,K300,K308,K356,K377,K385,K387,K395,K399,K393)</f>
        <v>317.64183557228796</v>
      </c>
    </row>
    <row r="290" spans="1:13" x14ac:dyDescent="0.35">
      <c r="A290" s="5" t="s">
        <v>5</v>
      </c>
      <c r="B290" s="5" t="s">
        <v>6</v>
      </c>
      <c r="C290" s="5" t="s">
        <v>7</v>
      </c>
      <c r="D290" t="s">
        <v>846</v>
      </c>
      <c r="E290" t="str">
        <f>E288</f>
        <v>PJ/yr.</v>
      </c>
      <c r="F290" s="1">
        <f>F291</f>
        <v>250.94820788424622</v>
      </c>
      <c r="G290" s="1">
        <f t="shared" ref="G290:K290" si="171">G291</f>
        <v>253.30005358253638</v>
      </c>
      <c r="H290" s="1">
        <f t="shared" si="171"/>
        <v>206.09862823720434</v>
      </c>
      <c r="I290" s="1">
        <f t="shared" si="171"/>
        <v>211.90224925277681</v>
      </c>
      <c r="J290" s="1">
        <f t="shared" si="171"/>
        <v>98.94550646506643</v>
      </c>
      <c r="K290" s="1">
        <f t="shared" si="171"/>
        <v>0</v>
      </c>
    </row>
    <row r="291" spans="1:13" x14ac:dyDescent="0.35">
      <c r="A291" s="5" t="s">
        <v>5</v>
      </c>
      <c r="B291" s="5" t="s">
        <v>6</v>
      </c>
      <c r="C291" s="5" t="s">
        <v>7</v>
      </c>
      <c r="D291" t="s">
        <v>92</v>
      </c>
      <c r="E291" t="str">
        <f>E290</f>
        <v>PJ/yr.</v>
      </c>
      <c r="F291" s="1">
        <f>'[1]Electricity and CHPs_IN'!B$14</f>
        <v>250.94820788424622</v>
      </c>
      <c r="G291" s="1">
        <f>'[1]Electricity and CHPs_IN'!C$14</f>
        <v>253.30005358253638</v>
      </c>
      <c r="H291" s="1">
        <f>'[1]Electricity and CHPs_IN'!D$14</f>
        <v>206.09862823720434</v>
      </c>
      <c r="I291" s="1">
        <f>'[1]Electricity and CHPs_IN'!E$14</f>
        <v>211.90224925277681</v>
      </c>
      <c r="J291" s="1">
        <f>'[1]Electricity and CHPs_IN'!F$14</f>
        <v>98.94550646506643</v>
      </c>
      <c r="K291" s="1">
        <f>'[1]Electricity and CHPs_IN'!G$14</f>
        <v>0</v>
      </c>
    </row>
    <row r="292" spans="1:13" x14ac:dyDescent="0.35">
      <c r="A292" s="5" t="s">
        <v>5</v>
      </c>
      <c r="B292" s="5" t="s">
        <v>6</v>
      </c>
      <c r="C292" s="5" t="s">
        <v>7</v>
      </c>
      <c r="D292" t="s">
        <v>847</v>
      </c>
      <c r="E292" t="str">
        <f t="shared" ref="E292:E355" si="172">E291</f>
        <v>PJ/yr.</v>
      </c>
      <c r="F292" s="1">
        <f>SUM(F293:F295)</f>
        <v>149.43048926184497</v>
      </c>
      <c r="G292" s="1">
        <f t="shared" ref="G292:K292" si="173">SUM(G293:G295)</f>
        <v>125.60521764655181</v>
      </c>
      <c r="H292" s="1">
        <f t="shared" si="173"/>
        <v>178.01159626065663</v>
      </c>
      <c r="I292" s="1">
        <f t="shared" si="173"/>
        <v>150.87264205225358</v>
      </c>
      <c r="J292" s="1">
        <f t="shared" si="173"/>
        <v>151.60854916082769</v>
      </c>
      <c r="K292" s="1">
        <f t="shared" si="173"/>
        <v>152.16869051047061</v>
      </c>
    </row>
    <row r="293" spans="1:13" x14ac:dyDescent="0.35">
      <c r="A293" s="5" t="s">
        <v>5</v>
      </c>
      <c r="B293" s="5" t="s">
        <v>6</v>
      </c>
      <c r="C293" s="5" t="s">
        <v>7</v>
      </c>
      <c r="D293" t="s">
        <v>93</v>
      </c>
      <c r="E293" t="str">
        <f t="shared" si="172"/>
        <v>PJ/yr.</v>
      </c>
      <c r="F293" s="1">
        <f>'[1]Electricity and CHPs_IN'!B$15</f>
        <v>66.745680254990347</v>
      </c>
      <c r="G293" s="1">
        <f>'[1]Electricity and CHPs_IN'!C$15</f>
        <v>49.798800132421839</v>
      </c>
      <c r="H293" s="1">
        <f>'[1]Electricity and CHPs_IN'!D$15</f>
        <v>68.534753880992568</v>
      </c>
      <c r="I293" s="1">
        <f>'[1]Electricity and CHPs_IN'!E$15</f>
        <v>70.674053749448348</v>
      </c>
      <c r="J293" s="1">
        <f>'[1]Electricity and CHPs_IN'!F$15</f>
        <v>72.726673527690465</v>
      </c>
      <c r="K293" s="1">
        <f>'[1]Electricity and CHPs_IN'!G$15</f>
        <v>74.835177080932695</v>
      </c>
    </row>
    <row r="294" spans="1:13" x14ac:dyDescent="0.35">
      <c r="A294" s="5" t="s">
        <v>5</v>
      </c>
      <c r="B294" s="5" t="s">
        <v>6</v>
      </c>
      <c r="C294" s="5" t="s">
        <v>7</v>
      </c>
      <c r="D294" t="s">
        <v>94</v>
      </c>
      <c r="E294" t="str">
        <f t="shared" si="172"/>
        <v>PJ/yr.</v>
      </c>
      <c r="F294" s="1">
        <f>'[1]Electricity and CHPs_IN'!B$16</f>
        <v>66.63240339221673</v>
      </c>
      <c r="G294" s="1">
        <f>'[1]Electricity and CHPs_IN'!C$16</f>
        <v>55.764002869629728</v>
      </c>
      <c r="H294" s="1">
        <f>'[1]Electricity and CHPs_IN'!D$16</f>
        <v>65.550592645327413</v>
      </c>
      <c r="I294" s="1">
        <f>'[1]Electricity and CHPs_IN'!E$16</f>
        <v>64.47402554118807</v>
      </c>
      <c r="J294" s="1">
        <f>'[1]Electricity and CHPs_IN'!F$16</f>
        <v>62.590508052977171</v>
      </c>
      <c r="K294" s="1">
        <f>'[1]Electricity and CHPs_IN'!G$16</f>
        <v>60.48200508705731</v>
      </c>
    </row>
    <row r="295" spans="1:13" x14ac:dyDescent="0.35">
      <c r="A295" s="5" t="s">
        <v>5</v>
      </c>
      <c r="B295" s="5" t="s">
        <v>6</v>
      </c>
      <c r="C295" s="5" t="s">
        <v>7</v>
      </c>
      <c r="D295" t="s">
        <v>95</v>
      </c>
      <c r="E295" t="str">
        <f t="shared" si="172"/>
        <v>PJ/yr.</v>
      </c>
      <c r="F295" s="1">
        <f>'[1]Electricity and CHPs_IN'!B$13</f>
        <v>16.052405614637909</v>
      </c>
      <c r="G295" s="1">
        <f>'[1]Electricity and CHPs_IN'!C$13</f>
        <v>20.042414644500237</v>
      </c>
      <c r="H295" s="1">
        <f>'[1]Electricity and CHPs_IN'!D$13</f>
        <v>43.926249734336636</v>
      </c>
      <c r="I295" s="1">
        <f>'[1]Electricity and CHPs_IN'!E$13</f>
        <v>15.724562761617161</v>
      </c>
      <c r="J295" s="1">
        <f>'[1]Electricity and CHPs_IN'!F$13</f>
        <v>16.291367580160053</v>
      </c>
      <c r="K295" s="1">
        <f>'[1]Electricity and CHPs_IN'!G$13</f>
        <v>16.851508342480596</v>
      </c>
    </row>
    <row r="296" spans="1:13" x14ac:dyDescent="0.35">
      <c r="A296" s="5" t="s">
        <v>5</v>
      </c>
      <c r="B296" s="5" t="s">
        <v>6</v>
      </c>
      <c r="C296" s="5" t="s">
        <v>7</v>
      </c>
      <c r="D296" t="s">
        <v>848</v>
      </c>
      <c r="E296" t="str">
        <f t="shared" si="172"/>
        <v>PJ/yr.</v>
      </c>
      <c r="F296" s="1">
        <f>SUM(F297:F299)</f>
        <v>0.14083696071853341</v>
      </c>
      <c r="G296" s="1">
        <f t="shared" ref="G296:K296" si="174">SUM(G297:G299)</f>
        <v>5.3732027714636553E-2</v>
      </c>
      <c r="H296" s="1">
        <f t="shared" si="174"/>
        <v>1.0439125552572502E-2</v>
      </c>
      <c r="I296" s="1">
        <f t="shared" si="174"/>
        <v>7.5730744433985919E-2</v>
      </c>
      <c r="J296" s="1">
        <f t="shared" si="174"/>
        <v>0.48973293800348439</v>
      </c>
      <c r="K296" s="1">
        <f t="shared" si="174"/>
        <v>1.4626270424286008E-4</v>
      </c>
    </row>
    <row r="297" spans="1:13" x14ac:dyDescent="0.35">
      <c r="A297" s="5" t="s">
        <v>5</v>
      </c>
      <c r="B297" s="5" t="s">
        <v>6</v>
      </c>
      <c r="C297" s="5" t="s">
        <v>7</v>
      </c>
      <c r="D297" t="s">
        <v>96</v>
      </c>
      <c r="E297" t="str">
        <f t="shared" si="172"/>
        <v>PJ/yr.</v>
      </c>
      <c r="F297" s="1">
        <f>'[1]Electricity and CHPs_IN'!B$18</f>
        <v>0.11693601624241899</v>
      </c>
      <c r="G297" s="1">
        <f>'[1]Electricity and CHPs_IN'!C$18</f>
        <v>4.9967679203165034E-4</v>
      </c>
      <c r="H297" s="1">
        <f>'[1]Electricity and CHPs_IN'!D$18</f>
        <v>5.7169994426964979E-3</v>
      </c>
      <c r="I297" s="1">
        <f>'[1]Electricity and CHPs_IN'!E$18</f>
        <v>7.6701345797471109E-4</v>
      </c>
      <c r="J297" s="1">
        <f>'[1]Electricity and CHPs_IN'!F$18</f>
        <v>0.48906976109986727</v>
      </c>
      <c r="K297" s="1">
        <f>'[1]Electricity and CHPs_IN'!G$18</f>
        <v>1.2892753520114445E-4</v>
      </c>
    </row>
    <row r="298" spans="1:13" x14ac:dyDescent="0.35">
      <c r="A298" s="5" t="s">
        <v>5</v>
      </c>
      <c r="B298" s="5" t="s">
        <v>6</v>
      </c>
      <c r="C298" s="5" t="s">
        <v>7</v>
      </c>
      <c r="D298" t="s">
        <v>230</v>
      </c>
      <c r="E298" t="str">
        <f t="shared" si="172"/>
        <v>PJ/yr.</v>
      </c>
      <c r="F298" s="1">
        <f>IFERROR(F70/SUM(F70,F183),0)*'[1]Electricity and CHPs_IN'!B$28</f>
        <v>3.1966920268948198E-3</v>
      </c>
      <c r="G298" s="1">
        <f>IFERROR(G70/SUM(G70,G183),0)*'[1]Electricity and CHPs_IN'!C$28</f>
        <v>9.0481690549912692E-5</v>
      </c>
      <c r="H298" s="1">
        <f>IFERROR(H70/SUM(H70,H183),0)*'[1]Electricity and CHPs_IN'!D$28</f>
        <v>9.6386977208201465E-4</v>
      </c>
      <c r="I298" s="1">
        <f>IFERROR(I70/SUM(I70,I183),0)*'[1]Electricity and CHPs_IN'!E$28</f>
        <v>2.571952808258663E-4</v>
      </c>
      <c r="J298" s="1">
        <f>IFERROR(J70/SUM(J70,J183),0)*'[1]Electricity and CHPs_IN'!F$28</f>
        <v>6.6317690361708764E-4</v>
      </c>
      <c r="K298" s="1">
        <f>IFERROR(K70/SUM(K70,K183),0)*'[1]Electricity and CHPs_IN'!G$28</f>
        <v>1.7335169041715639E-5</v>
      </c>
      <c r="M298" s="1"/>
    </row>
    <row r="299" spans="1:13" x14ac:dyDescent="0.35">
      <c r="A299" s="5" t="s">
        <v>5</v>
      </c>
      <c r="B299" s="5" t="s">
        <v>6</v>
      </c>
      <c r="C299" s="5" t="s">
        <v>7</v>
      </c>
      <c r="D299" t="s">
        <v>97</v>
      </c>
      <c r="E299" t="str">
        <f t="shared" si="172"/>
        <v>PJ/yr.</v>
      </c>
      <c r="F299" s="1">
        <f>IFERROR(F71/SUM(F71,F233),0)*'[1]Electricity and CHPs_IN'!B$41</f>
        <v>2.0704252449219605E-2</v>
      </c>
      <c r="G299" s="1">
        <f>IFERROR(G71/SUM(G71,G233),0)*'[1]Electricity and CHPs_IN'!C$41</f>
        <v>5.3141869232054988E-2</v>
      </c>
      <c r="H299" s="1">
        <f>IFERROR(H71/SUM(H71,H233),0)*'[1]Electricity and CHPs_IN'!D$41</f>
        <v>3.7582563377939887E-3</v>
      </c>
      <c r="I299" s="1">
        <f>IFERROR(I71/SUM(I71,I233),0)*'[1]Electricity and CHPs_IN'!E$41</f>
        <v>7.4706535695185344E-2</v>
      </c>
      <c r="J299" s="1">
        <f>IFERROR(J71/SUM(J71,J233),0)*'[1]Electricity and CHPs_IN'!F$41</f>
        <v>0</v>
      </c>
      <c r="K299" s="1">
        <f>IFERROR(K71/SUM(K71,K233),0)*'[1]Electricity and CHPs_IN'!G$41</f>
        <v>0</v>
      </c>
    </row>
    <row r="300" spans="1:13" x14ac:dyDescent="0.35">
      <c r="A300" s="5" t="s">
        <v>5</v>
      </c>
      <c r="B300" s="5" t="s">
        <v>6</v>
      </c>
      <c r="C300" s="5" t="s">
        <v>7</v>
      </c>
      <c r="D300" t="s">
        <v>849</v>
      </c>
      <c r="E300" t="str">
        <f t="shared" si="172"/>
        <v>PJ/yr.</v>
      </c>
      <c r="F300" s="1">
        <f>F296</f>
        <v>0.14083696071853341</v>
      </c>
      <c r="G300" s="1">
        <f t="shared" ref="G300:K300" si="175">G296</f>
        <v>5.3732027714636553E-2</v>
      </c>
      <c r="H300" s="1">
        <f t="shared" si="175"/>
        <v>1.0439125552572502E-2</v>
      </c>
      <c r="I300" s="1">
        <f t="shared" si="175"/>
        <v>7.5730744433985919E-2</v>
      </c>
      <c r="J300" s="1">
        <f t="shared" si="175"/>
        <v>0.48973293800348439</v>
      </c>
      <c r="K300" s="1">
        <f t="shared" si="175"/>
        <v>1.4626270424286008E-4</v>
      </c>
    </row>
    <row r="301" spans="1:13" x14ac:dyDescent="0.35">
      <c r="A301" s="5" t="s">
        <v>5</v>
      </c>
      <c r="B301" s="5" t="s">
        <v>6</v>
      </c>
      <c r="C301" s="5" t="s">
        <v>7</v>
      </c>
      <c r="D301" t="s">
        <v>520</v>
      </c>
      <c r="E301" t="str">
        <f t="shared" si="172"/>
        <v>PJ/yr.</v>
      </c>
      <c r="F301" s="1">
        <f t="shared" ref="F301:K301" si="176">F297</f>
        <v>0.11693601624241899</v>
      </c>
      <c r="G301" s="1">
        <f t="shared" si="176"/>
        <v>4.9967679203165034E-4</v>
      </c>
      <c r="H301" s="1">
        <f t="shared" si="176"/>
        <v>5.7169994426964979E-3</v>
      </c>
      <c r="I301" s="1">
        <f t="shared" si="176"/>
        <v>7.6701345797471109E-4</v>
      </c>
      <c r="J301" s="1">
        <f t="shared" si="176"/>
        <v>0.48906976109986727</v>
      </c>
      <c r="K301" s="1">
        <f t="shared" si="176"/>
        <v>1.2892753520114445E-4</v>
      </c>
    </row>
    <row r="302" spans="1:13" x14ac:dyDescent="0.35">
      <c r="A302" s="5" t="s">
        <v>5</v>
      </c>
      <c r="B302" s="5" t="s">
        <v>6</v>
      </c>
      <c r="C302" s="5" t="s">
        <v>7</v>
      </c>
      <c r="D302" t="s">
        <v>521</v>
      </c>
      <c r="E302" t="str">
        <f t="shared" si="172"/>
        <v>PJ/yr.</v>
      </c>
      <c r="F302" s="1">
        <f t="shared" ref="F302:K302" si="177">F298</f>
        <v>3.1966920268948198E-3</v>
      </c>
      <c r="G302" s="1">
        <f t="shared" si="177"/>
        <v>9.0481690549912692E-5</v>
      </c>
      <c r="H302" s="1">
        <f t="shared" si="177"/>
        <v>9.6386977208201465E-4</v>
      </c>
      <c r="I302" s="1">
        <f t="shared" si="177"/>
        <v>2.571952808258663E-4</v>
      </c>
      <c r="J302" s="1">
        <f t="shared" si="177"/>
        <v>6.6317690361708764E-4</v>
      </c>
      <c r="K302" s="1">
        <f t="shared" si="177"/>
        <v>1.7335169041715639E-5</v>
      </c>
    </row>
    <row r="303" spans="1:13" x14ac:dyDescent="0.35">
      <c r="A303" s="5" t="s">
        <v>5</v>
      </c>
      <c r="B303" s="5" t="s">
        <v>6</v>
      </c>
      <c r="C303" s="5" t="s">
        <v>7</v>
      </c>
      <c r="D303" t="s">
        <v>522</v>
      </c>
      <c r="E303" t="str">
        <f t="shared" si="172"/>
        <v>PJ/yr.</v>
      </c>
      <c r="F303" s="1">
        <f t="shared" ref="F303:K303" si="178">F299</f>
        <v>2.0704252449219605E-2</v>
      </c>
      <c r="G303" s="1">
        <f t="shared" si="178"/>
        <v>5.3141869232054988E-2</v>
      </c>
      <c r="H303" s="1">
        <f t="shared" si="178"/>
        <v>3.7582563377939887E-3</v>
      </c>
      <c r="I303" s="1">
        <f t="shared" si="178"/>
        <v>7.4706535695185344E-2</v>
      </c>
      <c r="J303" s="1">
        <f t="shared" si="178"/>
        <v>0</v>
      </c>
      <c r="K303" s="1">
        <f t="shared" si="178"/>
        <v>0</v>
      </c>
    </row>
    <row r="304" spans="1:13" x14ac:dyDescent="0.35">
      <c r="A304" s="5" t="s">
        <v>5</v>
      </c>
      <c r="B304" s="5" t="s">
        <v>6</v>
      </c>
      <c r="C304" s="5" t="s">
        <v>7</v>
      </c>
      <c r="D304" t="s">
        <v>850</v>
      </c>
      <c r="E304" t="str">
        <f t="shared" si="172"/>
        <v>PJ/yr.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 x14ac:dyDescent="0.35">
      <c r="A305" s="5" t="s">
        <v>5</v>
      </c>
      <c r="B305" s="5" t="s">
        <v>6</v>
      </c>
      <c r="C305" s="5" t="s">
        <v>7</v>
      </c>
      <c r="D305" t="s">
        <v>544</v>
      </c>
      <c r="E305" t="str">
        <f t="shared" si="172"/>
        <v>PJ/yr.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 x14ac:dyDescent="0.35">
      <c r="A306" s="5" t="s">
        <v>5</v>
      </c>
      <c r="B306" s="5" t="s">
        <v>6</v>
      </c>
      <c r="C306" s="5" t="s">
        <v>7</v>
      </c>
      <c r="D306" t="s">
        <v>545</v>
      </c>
      <c r="E306" t="str">
        <f t="shared" si="172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</row>
    <row r="307" spans="1:11" x14ac:dyDescent="0.35">
      <c r="A307" s="5" t="s">
        <v>5</v>
      </c>
      <c r="B307" s="5" t="s">
        <v>6</v>
      </c>
      <c r="C307" s="5" t="s">
        <v>7</v>
      </c>
      <c r="D307" t="s">
        <v>546</v>
      </c>
      <c r="E307" t="str">
        <f t="shared" si="172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 x14ac:dyDescent="0.35">
      <c r="A308" s="5" t="s">
        <v>5</v>
      </c>
      <c r="B308" s="5" t="s">
        <v>6</v>
      </c>
      <c r="C308" s="5" t="s">
        <v>7</v>
      </c>
      <c r="D308" t="s">
        <v>851</v>
      </c>
      <c r="E308" t="str">
        <f t="shared" si="172"/>
        <v>PJ/yr.</v>
      </c>
      <c r="F308" s="1">
        <f>SUM(F309:F323)</f>
        <v>4.0471913784102815</v>
      </c>
      <c r="G308" s="1">
        <f t="shared" ref="G308:K308" si="179">SUM(G309:G323)</f>
        <v>2.2575402317129414</v>
      </c>
      <c r="H308" s="1">
        <f t="shared" si="179"/>
        <v>1.6694005484006464</v>
      </c>
      <c r="I308" s="1">
        <f t="shared" si="179"/>
        <v>2.0947348719996359</v>
      </c>
      <c r="J308" s="1">
        <f t="shared" si="179"/>
        <v>2.7203744226030815</v>
      </c>
      <c r="K308" s="1">
        <f t="shared" si="179"/>
        <v>2.856969138600677</v>
      </c>
    </row>
    <row r="309" spans="1:11" x14ac:dyDescent="0.35">
      <c r="A309" s="5" t="s">
        <v>5</v>
      </c>
      <c r="B309" s="5" t="s">
        <v>6</v>
      </c>
      <c r="C309" s="5" t="s">
        <v>7</v>
      </c>
      <c r="D309" t="s">
        <v>98</v>
      </c>
      <c r="E309" t="str">
        <f t="shared" si="172"/>
        <v>PJ/yr.</v>
      </c>
      <c r="F309" s="1">
        <f>'[1]Electricity and CHPs_IN'!B$21</f>
        <v>0</v>
      </c>
      <c r="G309" s="1">
        <f>'[1]Electricity and CHPs_IN'!C$21</f>
        <v>0</v>
      </c>
      <c r="H309" s="1">
        <f>'[1]Electricity and CHPs_IN'!D$21</f>
        <v>0</v>
      </c>
      <c r="I309" s="1">
        <f>'[1]Electricity and CHPs_IN'!E$21</f>
        <v>0</v>
      </c>
      <c r="J309" s="1">
        <f>'[1]Electricity and CHPs_IN'!F$21</f>
        <v>2.081832162802788E-5</v>
      </c>
      <c r="K309" s="1">
        <f>'[1]Electricity and CHPs_IN'!G$21</f>
        <v>1.6676923106378045E-2</v>
      </c>
    </row>
    <row r="310" spans="1:11" x14ac:dyDescent="0.35">
      <c r="A310" s="5" t="s">
        <v>5</v>
      </c>
      <c r="B310" s="5" t="s">
        <v>6</v>
      </c>
      <c r="C310" s="5" t="s">
        <v>7</v>
      </c>
      <c r="D310" t="s">
        <v>99</v>
      </c>
      <c r="E310" t="str">
        <f t="shared" si="172"/>
        <v>PJ/yr.</v>
      </c>
      <c r="F310" s="1">
        <f>'[1]Electricity and CHPs_IN'!B$22</f>
        <v>0</v>
      </c>
      <c r="G310" s="1">
        <f>'[1]Electricity and CHPs_IN'!C$22</f>
        <v>0</v>
      </c>
      <c r="H310" s="1">
        <f>'[1]Electricity and CHPs_IN'!D$22</f>
        <v>0</v>
      </c>
      <c r="I310" s="1">
        <f>'[1]Electricity and CHPs_IN'!E$22</f>
        <v>0</v>
      </c>
      <c r="J310" s="1">
        <f>'[1]Electricity and CHPs_IN'!F$22</f>
        <v>1.6904187842772471E-5</v>
      </c>
      <c r="K310" s="1">
        <f>'[1]Electricity and CHPs_IN'!G$22</f>
        <v>5.6307715519264688E-2</v>
      </c>
    </row>
    <row r="311" spans="1:11" x14ac:dyDescent="0.35">
      <c r="A311" s="5" t="s">
        <v>5</v>
      </c>
      <c r="B311" s="5" t="s">
        <v>6</v>
      </c>
      <c r="C311" s="5" t="s">
        <v>7</v>
      </c>
      <c r="D311" t="s">
        <v>100</v>
      </c>
      <c r="E311" t="str">
        <f t="shared" si="172"/>
        <v>PJ/yr.</v>
      </c>
      <c r="F311" s="1">
        <f>'[1]Electricity and CHPs_IN'!B$23</f>
        <v>0</v>
      </c>
      <c r="G311" s="1">
        <f>'[1]Electricity and CHPs_IN'!C$23</f>
        <v>0</v>
      </c>
      <c r="H311" s="1">
        <f>'[1]Electricity and CHPs_IN'!D$23</f>
        <v>0</v>
      </c>
      <c r="I311" s="1">
        <f>'[1]Electricity and CHPs_IN'!E$23</f>
        <v>0</v>
      </c>
      <c r="J311" s="1">
        <f>'[1]Electricity and CHPs_IN'!F$23</f>
        <v>0</v>
      </c>
      <c r="K311" s="1">
        <f>'[1]Electricity and CHPs_IN'!G$23</f>
        <v>0</v>
      </c>
    </row>
    <row r="312" spans="1:11" x14ac:dyDescent="0.35">
      <c r="A312" s="5" t="s">
        <v>5</v>
      </c>
      <c r="B312" s="5" t="s">
        <v>6</v>
      </c>
      <c r="C312" s="5" t="s">
        <v>7</v>
      </c>
      <c r="D312" t="s">
        <v>101</v>
      </c>
      <c r="E312" t="str">
        <f t="shared" si="172"/>
        <v>PJ/yr.</v>
      </c>
      <c r="F312" s="1">
        <f>IFERROR(F84/SUM(F84+F187),0)*'[1]Electricity and CHPs_IN'!B$24</f>
        <v>1.2812700199501152</v>
      </c>
      <c r="G312" s="1">
        <f>IFERROR(G84/SUM(G84+G187),0)*'[1]Electricity and CHPs_IN'!C$24</f>
        <v>2.2835944527861926E-4</v>
      </c>
      <c r="H312" s="1">
        <f>IFERROR(H84/SUM(H84+H187),0)*'[1]Electricity and CHPs_IN'!D$24</f>
        <v>1.0372694445611064E-3</v>
      </c>
      <c r="I312" s="1">
        <f>IFERROR(I84/SUM(I84+I187),0)*'[1]Electricity and CHPs_IN'!E$24</f>
        <v>0</v>
      </c>
      <c r="J312" s="1">
        <f>IFERROR(J84/SUM(J84+J187),0)*'[1]Electricity and CHPs_IN'!F$24</f>
        <v>0</v>
      </c>
      <c r="K312" s="1">
        <f>IFERROR(K84/SUM(K84+K187),0)*'[1]Electricity and CHPs_IN'!G$24</f>
        <v>0</v>
      </c>
    </row>
    <row r="313" spans="1:11" x14ac:dyDescent="0.35">
      <c r="A313" s="5" t="s">
        <v>5</v>
      </c>
      <c r="B313" s="5" t="s">
        <v>6</v>
      </c>
      <c r="C313" s="5" t="s">
        <v>7</v>
      </c>
      <c r="D313" t="s">
        <v>102</v>
      </c>
      <c r="E313" t="str">
        <f t="shared" si="172"/>
        <v>PJ/yr.</v>
      </c>
      <c r="F313" s="1">
        <f>IFERROR(F85/SUM(F85+F188),0)*'[1]Electricity and CHPs_IN'!B$29</f>
        <v>0</v>
      </c>
      <c r="G313" s="1">
        <f>IFERROR(G85/SUM(G85+G188),0)*'[1]Electricity and CHPs_IN'!C$29</f>
        <v>0</v>
      </c>
      <c r="H313" s="1">
        <f>IFERROR(H85/SUM(H85+H188),0)*'[1]Electricity and CHPs_IN'!D$29</f>
        <v>0</v>
      </c>
      <c r="I313" s="1">
        <f>IFERROR(I85/SUM(I85+I188),0)*'[1]Electricity and CHPs_IN'!E$29</f>
        <v>0</v>
      </c>
      <c r="J313" s="1">
        <f>IFERROR(J85/SUM(J85+J188),0)*'[1]Electricity and CHPs_IN'!F$29</f>
        <v>0</v>
      </c>
      <c r="K313" s="1">
        <f>IFERROR(K85/SUM(K85+K188),0)*'[1]Electricity and CHPs_IN'!G$29</f>
        <v>0</v>
      </c>
    </row>
    <row r="314" spans="1:11" x14ac:dyDescent="0.35">
      <c r="A314" s="5" t="s">
        <v>5</v>
      </c>
      <c r="B314" s="5" t="s">
        <v>6</v>
      </c>
      <c r="C314" s="5" t="s">
        <v>7</v>
      </c>
      <c r="D314" t="s">
        <v>103</v>
      </c>
      <c r="E314" t="str">
        <f t="shared" si="172"/>
        <v>PJ/yr.</v>
      </c>
      <c r="F314" s="1">
        <f>F86/SUM(F86,F239)*'[1]Electricity and CHPs_IN'!B$39</f>
        <v>0.89330738304593738</v>
      </c>
      <c r="G314" s="1">
        <f>G86/SUM(G86,G239)*'[1]Electricity and CHPs_IN'!C$39</f>
        <v>0.11963829846233864</v>
      </c>
      <c r="H314" s="1">
        <f>H86/SUM(H86,H239)*'[1]Electricity and CHPs_IN'!D$39</f>
        <v>6.8683578344538379E-2</v>
      </c>
      <c r="I314" s="1">
        <f>I86/SUM(I86,I239)*'[1]Electricity and CHPs_IN'!E$39</f>
        <v>0.14218330495373172</v>
      </c>
      <c r="J314" s="1">
        <f>J86/SUM(J86,J239)*'[1]Electricity and CHPs_IN'!F$39</f>
        <v>0.87165522824582065</v>
      </c>
      <c r="K314" s="1">
        <f>K86/SUM(K86,K239)*'[1]Electricity and CHPs_IN'!G$39</f>
        <v>0.92057242070058942</v>
      </c>
    </row>
    <row r="315" spans="1:11" x14ac:dyDescent="0.35">
      <c r="A315" s="5" t="s">
        <v>5</v>
      </c>
      <c r="B315" s="5" t="s">
        <v>6</v>
      </c>
      <c r="C315" s="5" t="s">
        <v>7</v>
      </c>
      <c r="D315" t="s">
        <v>104</v>
      </c>
      <c r="E315" t="str">
        <f t="shared" si="172"/>
        <v>PJ/yr.</v>
      </c>
      <c r="F315" s="1">
        <f>IFERROR(F87/SUM(F87,F240),0)*'[1]Electricity and CHPs_IN'!B$40</f>
        <v>0</v>
      </c>
      <c r="G315" s="1">
        <f>IFERROR(G87/SUM(G87,G240),0)*'[1]Electricity and CHPs_IN'!C$40</f>
        <v>0</v>
      </c>
      <c r="H315" s="1">
        <f>IFERROR(H87/SUM(H87,H240),0)*'[1]Electricity and CHPs_IN'!D$40</f>
        <v>0</v>
      </c>
      <c r="I315" s="1">
        <f>IFERROR(I87/SUM(I87,I240),0)*'[1]Electricity and CHPs_IN'!E$40</f>
        <v>0</v>
      </c>
      <c r="J315" s="1">
        <f>IFERROR(J87/SUM(J87,J240),0)*'[1]Electricity and CHPs_IN'!F$40</f>
        <v>2.8181627256663234E-3</v>
      </c>
      <c r="K315" s="1">
        <f>IFERROR(K87/SUM(K87,K240),0)*'[1]Electricity and CHPs_IN'!G$40</f>
        <v>0.35973648235555639</v>
      </c>
    </row>
    <row r="316" spans="1:11" x14ac:dyDescent="0.35">
      <c r="A316" s="5" t="s">
        <v>5</v>
      </c>
      <c r="B316" s="5" t="s">
        <v>6</v>
      </c>
      <c r="C316" s="5" t="s">
        <v>7</v>
      </c>
      <c r="D316" t="s">
        <v>105</v>
      </c>
      <c r="E316" t="str">
        <f t="shared" si="172"/>
        <v>PJ/yr.</v>
      </c>
      <c r="F316" s="1">
        <f>IFERROR(F88/SUM(F88,F241),0)*'[1]Electricity and CHPs_IN'!$B$47</f>
        <v>0</v>
      </c>
      <c r="G316" s="1">
        <f>IFERROR(G88/SUM(G88,G241),0)*'[1]Electricity and CHPs_IN'!$B$47</f>
        <v>0</v>
      </c>
      <c r="H316" s="1">
        <f>IFERROR(H88/SUM(H88,H241),0)*'[1]Electricity and CHPs_IN'!$B$47</f>
        <v>0</v>
      </c>
      <c r="I316" s="1">
        <f>IFERROR(I88/SUM(I88,I241),0)*'[1]Electricity and CHPs_IN'!$B$47</f>
        <v>0</v>
      </c>
      <c r="J316" s="1">
        <f>IFERROR(J88/SUM(J88,J241),0)*'[1]Electricity and CHPs_IN'!$B$47</f>
        <v>0</v>
      </c>
      <c r="K316" s="1">
        <f>IFERROR(K88/SUM(K88,K241),0)*'[1]Electricity and CHPs_IN'!$B$47</f>
        <v>0</v>
      </c>
    </row>
    <row r="317" spans="1:11" x14ac:dyDescent="0.35">
      <c r="A317" s="5" t="s">
        <v>5</v>
      </c>
      <c r="B317" s="5" t="s">
        <v>6</v>
      </c>
      <c r="C317" s="5" t="s">
        <v>7</v>
      </c>
      <c r="D317" t="s">
        <v>106</v>
      </c>
      <c r="E317" t="str">
        <f t="shared" si="172"/>
        <v>PJ/yr.</v>
      </c>
      <c r="F317" s="1">
        <f>F89/SUM(F89,F242)*'[1]Electricity and CHPs_IN'!B$48</f>
        <v>1.6000439736047305E-2</v>
      </c>
      <c r="G317" s="1">
        <f>G89/SUM(G89,G242)*'[1]Electricity and CHPs_IN'!C$48</f>
        <v>2.4267673205630039E-3</v>
      </c>
      <c r="H317" s="1">
        <f>H89/SUM(H89,H242)*'[1]Electricity and CHPs_IN'!D$48</f>
        <v>3.8781910443917802E-3</v>
      </c>
      <c r="I317" s="1">
        <f>I89/SUM(I89,I242)*'[1]Electricity and CHPs_IN'!E$48</f>
        <v>8.3700632308507193E-3</v>
      </c>
      <c r="J317" s="1">
        <f>J89/SUM(J89,J242)*'[1]Electricity and CHPs_IN'!F$48</f>
        <v>2.0804521696266712E-3</v>
      </c>
      <c r="K317" s="1">
        <f>K89/SUM(K89,K242)*'[1]Electricity and CHPs_IN'!G$48</f>
        <v>0</v>
      </c>
    </row>
    <row r="318" spans="1:11" x14ac:dyDescent="0.35">
      <c r="A318" s="5" t="s">
        <v>5</v>
      </c>
      <c r="B318" s="5" t="s">
        <v>6</v>
      </c>
      <c r="C318" s="5" t="s">
        <v>7</v>
      </c>
      <c r="D318" t="s">
        <v>107</v>
      </c>
      <c r="E318" t="str">
        <f t="shared" si="172"/>
        <v>PJ/yr.</v>
      </c>
      <c r="F318" s="1">
        <f>IFERROR(F90/SUM(F90,F243),0)*'[1]Electricity and CHPs_IN'!B$49</f>
        <v>0</v>
      </c>
      <c r="G318" s="1">
        <f>IFERROR(G90/SUM(G90,G243),0)*'[1]Electricity and CHPs_IN'!C$49</f>
        <v>0</v>
      </c>
      <c r="H318" s="1">
        <f>IFERROR(H90/SUM(H90,H243),0)*'[1]Electricity and CHPs_IN'!D$49</f>
        <v>0</v>
      </c>
      <c r="I318" s="1">
        <f>IFERROR(I90/SUM(I90,I243),0)*'[1]Electricity and CHPs_IN'!E$49</f>
        <v>0</v>
      </c>
      <c r="J318" s="1">
        <f>IFERROR(J90/SUM(J90,J243),0)*'[1]Electricity and CHPs_IN'!F$49</f>
        <v>0</v>
      </c>
      <c r="K318" s="1">
        <f>IFERROR(K90/SUM(K90,K243),0)*'[1]Electricity and CHPs_IN'!G$49</f>
        <v>0</v>
      </c>
    </row>
    <row r="319" spans="1:11" x14ac:dyDescent="0.35">
      <c r="A319" s="5" t="s">
        <v>5</v>
      </c>
      <c r="B319" s="5" t="s">
        <v>6</v>
      </c>
      <c r="C319" s="5" t="s">
        <v>7</v>
      </c>
      <c r="D319" t="s">
        <v>108</v>
      </c>
      <c r="E319" t="str">
        <f t="shared" si="172"/>
        <v>PJ/yr.</v>
      </c>
      <c r="F319" s="1">
        <f>IFERROR(F91/SUM(F91,F244),0)*'[1]Electricity and CHPs_IN'!B$51</f>
        <v>2.5851612248414292E-2</v>
      </c>
      <c r="G319" s="1">
        <f>IFERROR(G91/SUM(G91,G244),0)*'[1]Electricity and CHPs_IN'!C$51</f>
        <v>8.948582332093255E-2</v>
      </c>
      <c r="H319" s="1">
        <f>IFERROR(H91/SUM(H91,H244),0)*'[1]Electricity and CHPs_IN'!D$51</f>
        <v>9.0285915622930257E-2</v>
      </c>
      <c r="I319" s="1">
        <f>IFERROR(I91/SUM(I91,I244),0)*'[1]Electricity and CHPs_IN'!E$51</f>
        <v>0.36544206677907176</v>
      </c>
      <c r="J319" s="1">
        <f>IFERROR(J91/SUM(J91,J244),0)*'[1]Electricity and CHPs_IN'!F$51</f>
        <v>0.16400343317965771</v>
      </c>
      <c r="K319" s="1">
        <f>IFERROR(K91/SUM(K91,K244),0)*'[1]Electricity and CHPs_IN'!G$51</f>
        <v>0</v>
      </c>
    </row>
    <row r="320" spans="1:11" x14ac:dyDescent="0.35">
      <c r="A320" s="5" t="s">
        <v>5</v>
      </c>
      <c r="B320" s="5" t="s">
        <v>6</v>
      </c>
      <c r="C320" s="5" t="s">
        <v>7</v>
      </c>
      <c r="D320" t="s">
        <v>109</v>
      </c>
      <c r="E320" t="str">
        <f t="shared" si="172"/>
        <v>PJ/yr.</v>
      </c>
      <c r="F320" s="1">
        <f>IFERROR(F92/SUM(F92,F245),0)*'[1]Electricity and CHPs_IN'!B$52</f>
        <v>0</v>
      </c>
      <c r="G320" s="1">
        <f>IFERROR(G92/SUM(G92,G245),0)*'[1]Electricity and CHPs_IN'!C$52</f>
        <v>0</v>
      </c>
      <c r="H320" s="1">
        <f>IFERROR(H92/SUM(H92,H245),0)*'[1]Electricity and CHPs_IN'!D$52</f>
        <v>0</v>
      </c>
      <c r="I320" s="1">
        <f>IFERROR(I92/SUM(I92,I245),0)*'[1]Electricity and CHPs_IN'!E$52</f>
        <v>0</v>
      </c>
      <c r="J320" s="1">
        <f>IFERROR(J92/SUM(J92,J245),0)*'[1]Electricity and CHPs_IN'!F$52</f>
        <v>0</v>
      </c>
      <c r="K320" s="1">
        <f>IFERROR(K92/SUM(K92,K245),0)*'[1]Electricity and CHPs_IN'!G$52</f>
        <v>0</v>
      </c>
    </row>
    <row r="321" spans="1:11" x14ac:dyDescent="0.35">
      <c r="A321" s="5" t="s">
        <v>5</v>
      </c>
      <c r="B321" s="5" t="s">
        <v>6</v>
      </c>
      <c r="C321" s="5" t="s">
        <v>7</v>
      </c>
      <c r="D321" t="s">
        <v>110</v>
      </c>
      <c r="E321" t="str">
        <f t="shared" si="172"/>
        <v>PJ/yr.</v>
      </c>
      <c r="F321" s="1">
        <f>IFERROR(F93/SUM(F93,F246),0)*'[1]Electricity and CHPs_IN'!B$54</f>
        <v>1.0647036070453788</v>
      </c>
      <c r="G321" s="1">
        <f>IFERROR(G93/SUM(G93,G246),0)*'[1]Electricity and CHPs_IN'!C$54</f>
        <v>1.2550224136243906</v>
      </c>
      <c r="H321" s="1">
        <f>IFERROR(H93/SUM(H93,H246),0)*'[1]Electricity and CHPs_IN'!D$54</f>
        <v>1.2994183601966478</v>
      </c>
      <c r="I321" s="1">
        <f>IFERROR(I93/SUM(I93,I246),0)*'[1]Electricity and CHPs_IN'!E$54</f>
        <v>1.380045510719959</v>
      </c>
      <c r="J321" s="1">
        <f>IFERROR(J93/SUM(J93,J246),0)*'[1]Electricity and CHPs_IN'!F$54</f>
        <v>1.5446939559450015</v>
      </c>
      <c r="K321" s="1">
        <f>IFERROR(K93/SUM(K93,K246),0)*'[1]Electricity and CHPs_IN'!G$54</f>
        <v>1.5036755969188882</v>
      </c>
    </row>
    <row r="322" spans="1:11" x14ac:dyDescent="0.35">
      <c r="A322" s="5" t="s">
        <v>5</v>
      </c>
      <c r="B322" s="5" t="s">
        <v>6</v>
      </c>
      <c r="C322" s="5" t="s">
        <v>7</v>
      </c>
      <c r="D322" t="s">
        <v>111</v>
      </c>
      <c r="E322" t="str">
        <f t="shared" si="172"/>
        <v>PJ/yr.</v>
      </c>
      <c r="F322" s="1">
        <f>IFERROR(F94/SUM(F94,F247),0)*'[1]Electricity and CHPs_IN'!B$55</f>
        <v>0.76605831638438826</v>
      </c>
      <c r="G322" s="1">
        <f>IFERROR(G94/SUM(G94,G247),0)*'[1]Electricity and CHPs_IN'!C$55</f>
        <v>0.790738569539438</v>
      </c>
      <c r="H322" s="1">
        <f>IFERROR(H94/SUM(H94,H247),0)*'[1]Electricity and CHPs_IN'!D$55</f>
        <v>0.20609723374757713</v>
      </c>
      <c r="I322" s="1">
        <f>IFERROR(I94/SUM(I94,I247),0)*'[1]Electricity and CHPs_IN'!E$55</f>
        <v>0.19869392631602262</v>
      </c>
      <c r="J322" s="1">
        <f>IFERROR(J94/SUM(J94,J247),0)*'[1]Electricity and CHPs_IN'!F$55</f>
        <v>0.1350854678278379</v>
      </c>
      <c r="K322" s="1">
        <f>IFERROR(K94/SUM(K94,K247),0)*'[1]Electricity and CHPs_IN'!G$55</f>
        <v>0</v>
      </c>
    </row>
    <row r="323" spans="1:11" x14ac:dyDescent="0.35">
      <c r="A323" s="5" t="s">
        <v>5</v>
      </c>
      <c r="B323" s="5" t="s">
        <v>6</v>
      </c>
      <c r="C323" s="5" t="s">
        <v>7</v>
      </c>
      <c r="D323" t="s">
        <v>112</v>
      </c>
      <c r="E323" t="str">
        <f t="shared" si="172"/>
        <v>PJ/yr.</v>
      </c>
      <c r="F323" s="1">
        <f>IFERROR(F95/SUM(F95,F248),0)*'[1]Electricity and CHPs_IN'!B$58</f>
        <v>0</v>
      </c>
      <c r="G323" s="1">
        <f>IFERROR(G95/SUM(G95,G248),0)*'[1]Electricity and CHPs_IN'!C$58</f>
        <v>0</v>
      </c>
      <c r="H323" s="1">
        <f>IFERROR(H95/SUM(H95,H248),0)*'[1]Electricity and CHPs_IN'!D$58</f>
        <v>0</v>
      </c>
      <c r="I323" s="1">
        <f>IFERROR(I95/SUM(I95,I248),0)*'[1]Electricity and CHPs_IN'!E$58</f>
        <v>0</v>
      </c>
      <c r="J323" s="1">
        <f>IFERROR(J95/SUM(J95,J248),0)*'[1]Electricity and CHPs_IN'!F$58</f>
        <v>0</v>
      </c>
      <c r="K323" s="1">
        <f>IFERROR(K95/SUM(K95,K248),0)*'[1]Electricity and CHPs_IN'!G$58</f>
        <v>0</v>
      </c>
    </row>
    <row r="324" spans="1:11" x14ac:dyDescent="0.35">
      <c r="A324" s="5" t="s">
        <v>5</v>
      </c>
      <c r="B324" s="5" t="s">
        <v>6</v>
      </c>
      <c r="C324" s="5" t="s">
        <v>7</v>
      </c>
      <c r="D324" t="s">
        <v>852</v>
      </c>
      <c r="E324" t="str">
        <f t="shared" si="172"/>
        <v>PJ/yr.</v>
      </c>
      <c r="F324" s="1">
        <f>F308-F340</f>
        <v>2.9072717415673028</v>
      </c>
      <c r="G324" s="1">
        <f t="shared" ref="G324:K324" si="180">G308-G340</f>
        <v>0.98045731075368225</v>
      </c>
      <c r="H324" s="1">
        <f t="shared" si="180"/>
        <v>0.3533335759838474</v>
      </c>
      <c r="I324" s="1">
        <f t="shared" si="180"/>
        <v>0.70244983396888583</v>
      </c>
      <c r="J324" s="1">
        <f t="shared" si="180"/>
        <v>1.0385093161498613</v>
      </c>
      <c r="K324" s="1">
        <f t="shared" si="180"/>
        <v>0.55461551055349956</v>
      </c>
    </row>
    <row r="325" spans="1:11" x14ac:dyDescent="0.35">
      <c r="A325" s="5" t="s">
        <v>5</v>
      </c>
      <c r="B325" s="5" t="s">
        <v>6</v>
      </c>
      <c r="C325" s="5" t="s">
        <v>7</v>
      </c>
      <c r="D325" t="s">
        <v>579</v>
      </c>
      <c r="E325" t="str">
        <f t="shared" si="172"/>
        <v>PJ/yr.</v>
      </c>
      <c r="F325" s="1">
        <f>IFERROR(F97/F81,0)*F309</f>
        <v>0</v>
      </c>
      <c r="G325" s="1">
        <f t="shared" ref="G325:K325" si="181">IFERROR(G97/G81,0)*G309</f>
        <v>0</v>
      </c>
      <c r="H325" s="1">
        <f t="shared" si="181"/>
        <v>0</v>
      </c>
      <c r="I325" s="1">
        <f t="shared" si="181"/>
        <v>0</v>
      </c>
      <c r="J325" s="1">
        <f t="shared" si="181"/>
        <v>1.8389368174812753E-5</v>
      </c>
      <c r="K325" s="1">
        <f t="shared" si="181"/>
        <v>6.8346444715984382E-3</v>
      </c>
    </row>
    <row r="326" spans="1:11" x14ac:dyDescent="0.35">
      <c r="A326" s="5" t="s">
        <v>5</v>
      </c>
      <c r="B326" s="5" t="s">
        <v>6</v>
      </c>
      <c r="C326" s="5" t="s">
        <v>7</v>
      </c>
      <c r="D326" t="s">
        <v>580</v>
      </c>
      <c r="E326" t="str">
        <f t="shared" si="172"/>
        <v>PJ/yr.</v>
      </c>
      <c r="F326" s="1">
        <f t="shared" ref="F326:K326" si="182">IFERROR(F98/F82,0)*F310</f>
        <v>0</v>
      </c>
      <c r="G326" s="1">
        <f t="shared" si="182"/>
        <v>0</v>
      </c>
      <c r="H326" s="1">
        <f t="shared" si="182"/>
        <v>0</v>
      </c>
      <c r="I326" s="1">
        <f t="shared" si="182"/>
        <v>0</v>
      </c>
      <c r="J326" s="1">
        <f t="shared" si="182"/>
        <v>1.4931911394741203E-5</v>
      </c>
      <c r="K326" s="1">
        <f t="shared" si="182"/>
        <v>2.3076392097466571E-2</v>
      </c>
    </row>
    <row r="327" spans="1:11" x14ac:dyDescent="0.35">
      <c r="A327" s="5" t="s">
        <v>5</v>
      </c>
      <c r="B327" s="5" t="s">
        <v>6</v>
      </c>
      <c r="C327" s="5" t="s">
        <v>7</v>
      </c>
      <c r="D327" t="s">
        <v>581</v>
      </c>
      <c r="E327" t="str">
        <f t="shared" si="172"/>
        <v>PJ/yr.</v>
      </c>
      <c r="F327" s="1">
        <f t="shared" ref="F327:K327" si="183">IFERROR(F99/F83,0)*F311</f>
        <v>0</v>
      </c>
      <c r="G327" s="1">
        <f t="shared" si="183"/>
        <v>0</v>
      </c>
      <c r="H327" s="1">
        <f t="shared" si="183"/>
        <v>0</v>
      </c>
      <c r="I327" s="1">
        <f t="shared" si="183"/>
        <v>0</v>
      </c>
      <c r="J327" s="1">
        <f t="shared" si="183"/>
        <v>0</v>
      </c>
      <c r="K327" s="1">
        <f t="shared" si="183"/>
        <v>0</v>
      </c>
    </row>
    <row r="328" spans="1:11" x14ac:dyDescent="0.35">
      <c r="A328" s="5" t="s">
        <v>5</v>
      </c>
      <c r="B328" s="5" t="s">
        <v>6</v>
      </c>
      <c r="C328" s="5" t="s">
        <v>7</v>
      </c>
      <c r="D328" t="s">
        <v>582</v>
      </c>
      <c r="E328" t="str">
        <f t="shared" si="172"/>
        <v>PJ/yr.</v>
      </c>
      <c r="F328" s="1">
        <f t="shared" ref="F328:K328" si="184">IFERROR(F100/F84,0)*F312</f>
        <v>1.2489573831894167</v>
      </c>
      <c r="G328" s="1">
        <f t="shared" si="184"/>
        <v>2.2333437228075405E-4</v>
      </c>
      <c r="H328" s="1">
        <f t="shared" si="184"/>
        <v>9.9059396314363918E-4</v>
      </c>
      <c r="I328" s="1">
        <f t="shared" si="184"/>
        <v>0</v>
      </c>
      <c r="J328" s="1">
        <f t="shared" si="184"/>
        <v>0</v>
      </c>
      <c r="K328" s="1">
        <f t="shared" si="184"/>
        <v>0</v>
      </c>
    </row>
    <row r="329" spans="1:11" x14ac:dyDescent="0.35">
      <c r="A329" s="5" t="s">
        <v>5</v>
      </c>
      <c r="B329" s="5" t="s">
        <v>6</v>
      </c>
      <c r="C329" s="5" t="s">
        <v>7</v>
      </c>
      <c r="D329" t="s">
        <v>583</v>
      </c>
      <c r="E329" t="str">
        <f t="shared" si="172"/>
        <v>PJ/yr.</v>
      </c>
      <c r="F329" s="1">
        <f t="shared" ref="F329:K329" si="185">IFERROR(F101/F85,0)*F313</f>
        <v>0</v>
      </c>
      <c r="G329" s="1">
        <f t="shared" si="185"/>
        <v>0</v>
      </c>
      <c r="H329" s="1">
        <f t="shared" si="185"/>
        <v>0</v>
      </c>
      <c r="I329" s="1">
        <f t="shared" si="185"/>
        <v>0</v>
      </c>
      <c r="J329" s="1">
        <f t="shared" si="185"/>
        <v>0</v>
      </c>
      <c r="K329" s="1">
        <f t="shared" si="185"/>
        <v>0</v>
      </c>
    </row>
    <row r="330" spans="1:11" x14ac:dyDescent="0.35">
      <c r="A330" s="5" t="s">
        <v>5</v>
      </c>
      <c r="B330" s="5" t="s">
        <v>6</v>
      </c>
      <c r="C330" s="5" t="s">
        <v>7</v>
      </c>
      <c r="D330" t="s">
        <v>584</v>
      </c>
      <c r="E330" t="str">
        <f t="shared" si="172"/>
        <v>PJ/yr.</v>
      </c>
      <c r="F330" s="1">
        <f t="shared" ref="F330:K330" si="186">IFERROR(F102/F86,0)*F314</f>
        <v>0.8707788632690231</v>
      </c>
      <c r="G330" s="1">
        <f t="shared" si="186"/>
        <v>0.11700564544297205</v>
      </c>
      <c r="H330" s="1">
        <f t="shared" si="186"/>
        <v>6.5592926150438394E-2</v>
      </c>
      <c r="I330" s="1">
        <f t="shared" si="186"/>
        <v>0.13974832195495904</v>
      </c>
      <c r="J330" s="1">
        <f t="shared" si="186"/>
        <v>0.76995586868696519</v>
      </c>
      <c r="K330" s="1">
        <f t="shared" si="186"/>
        <v>0.37727494248870158</v>
      </c>
    </row>
    <row r="331" spans="1:11" x14ac:dyDescent="0.35">
      <c r="A331" s="5" t="s">
        <v>5</v>
      </c>
      <c r="B331" s="5" t="s">
        <v>6</v>
      </c>
      <c r="C331" s="5" t="s">
        <v>7</v>
      </c>
      <c r="D331" t="s">
        <v>585</v>
      </c>
      <c r="E331" t="str">
        <f t="shared" si="172"/>
        <v>PJ/yr.</v>
      </c>
      <c r="F331" s="1">
        <f t="shared" ref="F331:K331" si="187">IFERROR(F103/F87,0)*F315</f>
        <v>0</v>
      </c>
      <c r="G331" s="1">
        <f t="shared" si="187"/>
        <v>0</v>
      </c>
      <c r="H331" s="1">
        <f t="shared" si="187"/>
        <v>0</v>
      </c>
      <c r="I331" s="1">
        <f t="shared" si="187"/>
        <v>0</v>
      </c>
      <c r="J331" s="1">
        <f t="shared" si="187"/>
        <v>2.4893568686651692E-3</v>
      </c>
      <c r="K331" s="1">
        <f t="shared" si="187"/>
        <v>0.1474295314957326</v>
      </c>
    </row>
    <row r="332" spans="1:11" x14ac:dyDescent="0.35">
      <c r="A332" s="5" t="s">
        <v>5</v>
      </c>
      <c r="B332" s="5" t="s">
        <v>6</v>
      </c>
      <c r="C332" s="5" t="s">
        <v>7</v>
      </c>
      <c r="D332" t="s">
        <v>586</v>
      </c>
      <c r="E332" t="str">
        <f t="shared" si="172"/>
        <v>PJ/yr.</v>
      </c>
      <c r="F332" s="1">
        <f t="shared" ref="F332:K332" si="188">IFERROR(F104/F88,0)*F316</f>
        <v>0</v>
      </c>
      <c r="G332" s="1">
        <f t="shared" si="188"/>
        <v>0</v>
      </c>
      <c r="H332" s="1">
        <f t="shared" si="188"/>
        <v>0</v>
      </c>
      <c r="I332" s="1">
        <f t="shared" si="188"/>
        <v>0</v>
      </c>
      <c r="J332" s="1">
        <f t="shared" si="188"/>
        <v>0</v>
      </c>
      <c r="K332" s="1">
        <f t="shared" si="188"/>
        <v>0</v>
      </c>
    </row>
    <row r="333" spans="1:11" x14ac:dyDescent="0.35">
      <c r="A333" s="5" t="s">
        <v>5</v>
      </c>
      <c r="B333" s="5" t="s">
        <v>6</v>
      </c>
      <c r="C333" s="5" t="s">
        <v>7</v>
      </c>
      <c r="D333" t="s">
        <v>587</v>
      </c>
      <c r="E333" t="str">
        <f t="shared" si="172"/>
        <v>PJ/yr.</v>
      </c>
      <c r="F333" s="1">
        <f t="shared" ref="F333:K333" si="189">IFERROR(F105/F89,0)*F317</f>
        <v>1.5596921048220304E-2</v>
      </c>
      <c r="G333" s="1">
        <f t="shared" si="189"/>
        <v>2.3733660569551676E-3</v>
      </c>
      <c r="H333" s="1">
        <f t="shared" si="189"/>
        <v>3.7036785925162801E-3</v>
      </c>
      <c r="I333" s="1">
        <f t="shared" si="189"/>
        <v>8.2267203702215755E-3</v>
      </c>
      <c r="J333" s="1">
        <f t="shared" si="189"/>
        <v>1.8377178334033188E-3</v>
      </c>
      <c r="K333" s="1">
        <f t="shared" si="189"/>
        <v>0</v>
      </c>
    </row>
    <row r="334" spans="1:11" x14ac:dyDescent="0.35">
      <c r="A334" s="5" t="s">
        <v>5</v>
      </c>
      <c r="B334" s="5" t="s">
        <v>6</v>
      </c>
      <c r="C334" s="5" t="s">
        <v>7</v>
      </c>
      <c r="D334" t="s">
        <v>588</v>
      </c>
      <c r="E334" t="str">
        <f t="shared" si="172"/>
        <v>PJ/yr.</v>
      </c>
      <c r="F334" s="1">
        <f t="shared" ref="F334:K334" si="190">IFERROR(F106/F90,0)*F318</f>
        <v>0</v>
      </c>
      <c r="G334" s="1">
        <f t="shared" si="190"/>
        <v>0</v>
      </c>
      <c r="H334" s="1">
        <f t="shared" si="190"/>
        <v>0</v>
      </c>
      <c r="I334" s="1">
        <f t="shared" si="190"/>
        <v>0</v>
      </c>
      <c r="J334" s="1">
        <f t="shared" si="190"/>
        <v>0</v>
      </c>
      <c r="K334" s="1">
        <f t="shared" si="190"/>
        <v>0</v>
      </c>
    </row>
    <row r="335" spans="1:11" x14ac:dyDescent="0.35">
      <c r="A335" s="5" t="s">
        <v>5</v>
      </c>
      <c r="B335" s="5" t="s">
        <v>6</v>
      </c>
      <c r="C335" s="5" t="s">
        <v>7</v>
      </c>
      <c r="D335" t="s">
        <v>589</v>
      </c>
      <c r="E335" t="str">
        <f t="shared" si="172"/>
        <v>PJ/yr.</v>
      </c>
      <c r="F335" s="1">
        <f t="shared" ref="F335:K335" si="191">IFERROR(F107/F91,0)*F319</f>
        <v>2.5199654625700264E-2</v>
      </c>
      <c r="G335" s="1">
        <f t="shared" si="191"/>
        <v>8.7516678607373125E-2</v>
      </c>
      <c r="H335" s="1">
        <f t="shared" si="191"/>
        <v>8.6223192480921376E-2</v>
      </c>
      <c r="I335" s="1">
        <f t="shared" si="191"/>
        <v>0.35918363003832388</v>
      </c>
      <c r="J335" s="1">
        <f t="shared" si="191"/>
        <v>0.14486852343628268</v>
      </c>
      <c r="K335" s="1">
        <f t="shared" si="191"/>
        <v>0</v>
      </c>
    </row>
    <row r="336" spans="1:11" x14ac:dyDescent="0.35">
      <c r="A336" s="5" t="s">
        <v>5</v>
      </c>
      <c r="B336" s="5" t="s">
        <v>6</v>
      </c>
      <c r="C336" s="5" t="s">
        <v>7</v>
      </c>
      <c r="D336" t="s">
        <v>590</v>
      </c>
      <c r="E336" t="str">
        <f t="shared" si="172"/>
        <v>PJ/yr.</v>
      </c>
      <c r="F336" s="1">
        <f t="shared" ref="F336:K336" si="192">IFERROR(F108/F92,0)*F320</f>
        <v>0</v>
      </c>
      <c r="G336" s="1">
        <f t="shared" si="192"/>
        <v>0</v>
      </c>
      <c r="H336" s="1">
        <f t="shared" si="192"/>
        <v>0</v>
      </c>
      <c r="I336" s="1">
        <f t="shared" si="192"/>
        <v>0</v>
      </c>
      <c r="J336" s="1">
        <f t="shared" si="192"/>
        <v>0</v>
      </c>
      <c r="K336" s="1">
        <f t="shared" si="192"/>
        <v>0</v>
      </c>
    </row>
    <row r="337" spans="1:11" x14ac:dyDescent="0.35">
      <c r="A337" s="5" t="s">
        <v>5</v>
      </c>
      <c r="B337" s="5" t="s">
        <v>6</v>
      </c>
      <c r="C337" s="5" t="s">
        <v>7</v>
      </c>
      <c r="D337" t="s">
        <v>591</v>
      </c>
      <c r="E337" t="str">
        <f t="shared" si="172"/>
        <v>PJ/yr.</v>
      </c>
      <c r="F337" s="1">
        <f t="shared" ref="F337:K337" si="193">IFERROR(F109/F93,0)*F321</f>
        <v>0</v>
      </c>
      <c r="G337" s="1">
        <f t="shared" si="193"/>
        <v>0</v>
      </c>
      <c r="H337" s="1">
        <f t="shared" si="193"/>
        <v>0</v>
      </c>
      <c r="I337" s="1">
        <f t="shared" si="193"/>
        <v>0</v>
      </c>
      <c r="J337" s="1">
        <f t="shared" si="193"/>
        <v>0</v>
      </c>
      <c r="K337" s="1">
        <f t="shared" si="193"/>
        <v>0</v>
      </c>
    </row>
    <row r="338" spans="1:11" x14ac:dyDescent="0.35">
      <c r="A338" s="5" t="s">
        <v>5</v>
      </c>
      <c r="B338" s="5" t="s">
        <v>6</v>
      </c>
      <c r="C338" s="5" t="s">
        <v>7</v>
      </c>
      <c r="D338" t="s">
        <v>592</v>
      </c>
      <c r="E338" t="str">
        <f t="shared" si="172"/>
        <v>PJ/yr.</v>
      </c>
      <c r="F338" s="1">
        <f t="shared" ref="F338:K338" si="194">IFERROR(F110/F94,0)*F322</f>
        <v>0.74673891943494208</v>
      </c>
      <c r="G338" s="1">
        <f t="shared" si="194"/>
        <v>0.77333828627410106</v>
      </c>
      <c r="H338" s="1">
        <f t="shared" si="194"/>
        <v>0.19682318479682762</v>
      </c>
      <c r="I338" s="1">
        <f t="shared" si="194"/>
        <v>0.19529116160538129</v>
      </c>
      <c r="J338" s="1">
        <f t="shared" si="194"/>
        <v>0.11932452804497558</v>
      </c>
      <c r="K338" s="1">
        <f t="shared" si="194"/>
        <v>0</v>
      </c>
    </row>
    <row r="339" spans="1:11" x14ac:dyDescent="0.35">
      <c r="A339" s="5" t="s">
        <v>5</v>
      </c>
      <c r="B339" s="5" t="s">
        <v>6</v>
      </c>
      <c r="C339" s="5" t="s">
        <v>7</v>
      </c>
      <c r="D339" t="s">
        <v>593</v>
      </c>
      <c r="E339" t="str">
        <f t="shared" si="172"/>
        <v>PJ/yr.</v>
      </c>
      <c r="F339" s="1">
        <f t="shared" ref="F339:K339" si="195">IFERROR(F111/F95,0)*F323</f>
        <v>0</v>
      </c>
      <c r="G339" s="1">
        <f t="shared" si="195"/>
        <v>0</v>
      </c>
      <c r="H339" s="1">
        <f t="shared" si="195"/>
        <v>0</v>
      </c>
      <c r="I339" s="1">
        <f t="shared" si="195"/>
        <v>0</v>
      </c>
      <c r="J339" s="1">
        <f t="shared" si="195"/>
        <v>0</v>
      </c>
      <c r="K339" s="1">
        <f t="shared" si="195"/>
        <v>0</v>
      </c>
    </row>
    <row r="340" spans="1:11" x14ac:dyDescent="0.35">
      <c r="A340" s="5" t="s">
        <v>5</v>
      </c>
      <c r="B340" s="5" t="s">
        <v>6</v>
      </c>
      <c r="C340" s="5" t="s">
        <v>7</v>
      </c>
      <c r="D340" t="s">
        <v>853</v>
      </c>
      <c r="E340" t="str">
        <f t="shared" si="172"/>
        <v>PJ/yr.</v>
      </c>
      <c r="F340" s="1">
        <f>SUM(F341:F355)</f>
        <v>1.1399196368429787</v>
      </c>
      <c r="G340" s="1">
        <f t="shared" ref="G340:K340" si="196">SUM(G341:G355)</f>
        <v>1.2770829209592591</v>
      </c>
      <c r="H340" s="1">
        <f t="shared" si="196"/>
        <v>1.316066972416799</v>
      </c>
      <c r="I340" s="1">
        <f t="shared" si="196"/>
        <v>1.3922850380307501</v>
      </c>
      <c r="J340" s="1">
        <f t="shared" si="196"/>
        <v>1.6818651064532202</v>
      </c>
      <c r="K340" s="1">
        <f t="shared" si="196"/>
        <v>2.3023536280471775</v>
      </c>
    </row>
    <row r="341" spans="1:11" x14ac:dyDescent="0.35">
      <c r="A341" s="5" t="s">
        <v>5</v>
      </c>
      <c r="B341" s="5" t="s">
        <v>6</v>
      </c>
      <c r="C341" s="5" t="s">
        <v>7</v>
      </c>
      <c r="D341" t="s">
        <v>640</v>
      </c>
      <c r="E341" t="str">
        <f t="shared" si="172"/>
        <v>PJ/yr.</v>
      </c>
      <c r="F341" s="1">
        <f>F309-F325</f>
        <v>0</v>
      </c>
      <c r="G341" s="1">
        <f t="shared" ref="G341:K341" si="197">G309-G325</f>
        <v>0</v>
      </c>
      <c r="H341" s="1">
        <f t="shared" si="197"/>
        <v>0</v>
      </c>
      <c r="I341" s="1">
        <f t="shared" si="197"/>
        <v>0</v>
      </c>
      <c r="J341" s="1">
        <f t="shared" si="197"/>
        <v>2.4289534532151273E-6</v>
      </c>
      <c r="K341" s="1">
        <f t="shared" si="197"/>
        <v>9.8422786347796068E-3</v>
      </c>
    </row>
    <row r="342" spans="1:11" x14ac:dyDescent="0.35">
      <c r="A342" s="5" t="s">
        <v>5</v>
      </c>
      <c r="B342" s="5" t="s">
        <v>6</v>
      </c>
      <c r="C342" s="5" t="s">
        <v>7</v>
      </c>
      <c r="D342" t="s">
        <v>641</v>
      </c>
      <c r="E342" t="str">
        <f t="shared" si="172"/>
        <v>PJ/yr.</v>
      </c>
      <c r="F342" s="1">
        <f t="shared" ref="F342:K342" si="198">F310-F326</f>
        <v>0</v>
      </c>
      <c r="G342" s="1">
        <f t="shared" si="198"/>
        <v>0</v>
      </c>
      <c r="H342" s="1">
        <f t="shared" si="198"/>
        <v>0</v>
      </c>
      <c r="I342" s="1">
        <f t="shared" si="198"/>
        <v>0</v>
      </c>
      <c r="J342" s="1">
        <f t="shared" si="198"/>
        <v>1.9722764480312681E-6</v>
      </c>
      <c r="K342" s="1">
        <f t="shared" si="198"/>
        <v>3.3231323421798117E-2</v>
      </c>
    </row>
    <row r="343" spans="1:11" x14ac:dyDescent="0.35">
      <c r="A343" s="5" t="s">
        <v>5</v>
      </c>
      <c r="B343" s="5" t="s">
        <v>6</v>
      </c>
      <c r="C343" s="5" t="s">
        <v>7</v>
      </c>
      <c r="D343" t="s">
        <v>642</v>
      </c>
      <c r="E343" t="str">
        <f t="shared" si="172"/>
        <v>PJ/yr.</v>
      </c>
      <c r="F343" s="1">
        <f t="shared" ref="F343:K343" si="199">F311-F327</f>
        <v>0</v>
      </c>
      <c r="G343" s="1">
        <f t="shared" si="199"/>
        <v>0</v>
      </c>
      <c r="H343" s="1">
        <f t="shared" si="199"/>
        <v>0</v>
      </c>
      <c r="I343" s="1">
        <f t="shared" si="199"/>
        <v>0</v>
      </c>
      <c r="J343" s="1">
        <f t="shared" si="199"/>
        <v>0</v>
      </c>
      <c r="K343" s="1">
        <f t="shared" si="199"/>
        <v>0</v>
      </c>
    </row>
    <row r="344" spans="1:11" x14ac:dyDescent="0.35">
      <c r="A344" s="5" t="s">
        <v>5</v>
      </c>
      <c r="B344" s="5" t="s">
        <v>6</v>
      </c>
      <c r="C344" s="5" t="s">
        <v>7</v>
      </c>
      <c r="D344" t="s">
        <v>643</v>
      </c>
      <c r="E344" t="str">
        <f t="shared" si="172"/>
        <v>PJ/yr.</v>
      </c>
      <c r="F344" s="1">
        <f t="shared" ref="F344:K344" si="200">F312-F328</f>
        <v>3.231263676069851E-2</v>
      </c>
      <c r="G344" s="1">
        <f t="shared" si="200"/>
        <v>5.0250729978652126E-6</v>
      </c>
      <c r="H344" s="1">
        <f t="shared" si="200"/>
        <v>4.6675481417467234E-5</v>
      </c>
      <c r="I344" s="1">
        <f t="shared" si="200"/>
        <v>0</v>
      </c>
      <c r="J344" s="1">
        <f t="shared" si="200"/>
        <v>0</v>
      </c>
      <c r="K344" s="1">
        <f t="shared" si="200"/>
        <v>0</v>
      </c>
    </row>
    <row r="345" spans="1:11" x14ac:dyDescent="0.35">
      <c r="A345" s="5" t="s">
        <v>5</v>
      </c>
      <c r="B345" s="5" t="s">
        <v>6</v>
      </c>
      <c r="C345" s="5" t="s">
        <v>7</v>
      </c>
      <c r="D345" t="s">
        <v>644</v>
      </c>
      <c r="E345" t="str">
        <f t="shared" si="172"/>
        <v>PJ/yr.</v>
      </c>
      <c r="F345" s="1">
        <f t="shared" ref="F345:K345" si="201">F313-F329</f>
        <v>0</v>
      </c>
      <c r="G345" s="1">
        <f t="shared" si="201"/>
        <v>0</v>
      </c>
      <c r="H345" s="1">
        <f t="shared" si="201"/>
        <v>0</v>
      </c>
      <c r="I345" s="1">
        <f t="shared" si="201"/>
        <v>0</v>
      </c>
      <c r="J345" s="1">
        <f t="shared" si="201"/>
        <v>0</v>
      </c>
      <c r="K345" s="1">
        <f t="shared" si="201"/>
        <v>0</v>
      </c>
    </row>
    <row r="346" spans="1:11" x14ac:dyDescent="0.35">
      <c r="A346" s="5" t="s">
        <v>5</v>
      </c>
      <c r="B346" s="5" t="s">
        <v>6</v>
      </c>
      <c r="C346" s="5" t="s">
        <v>7</v>
      </c>
      <c r="D346" t="s">
        <v>645</v>
      </c>
      <c r="E346" t="str">
        <f t="shared" si="172"/>
        <v>PJ/yr.</v>
      </c>
      <c r="F346" s="1">
        <f t="shared" ref="F346:K346" si="202">F314-F330</f>
        <v>2.252851977691428E-2</v>
      </c>
      <c r="G346" s="1">
        <f t="shared" si="202"/>
        <v>2.6326530193665904E-3</v>
      </c>
      <c r="H346" s="1">
        <f t="shared" si="202"/>
        <v>3.0906521940999854E-3</v>
      </c>
      <c r="I346" s="1">
        <f t="shared" si="202"/>
        <v>2.4349829987726779E-3</v>
      </c>
      <c r="J346" s="1">
        <f t="shared" si="202"/>
        <v>0.10169935955885545</v>
      </c>
      <c r="K346" s="1">
        <f t="shared" si="202"/>
        <v>0.54329747821188779</v>
      </c>
    </row>
    <row r="347" spans="1:11" x14ac:dyDescent="0.35">
      <c r="A347" s="5" t="s">
        <v>5</v>
      </c>
      <c r="B347" s="5" t="s">
        <v>6</v>
      </c>
      <c r="C347" s="5" t="s">
        <v>7</v>
      </c>
      <c r="D347" t="s">
        <v>646</v>
      </c>
      <c r="E347" t="str">
        <f t="shared" si="172"/>
        <v>PJ/yr.</v>
      </c>
      <c r="F347" s="1">
        <f t="shared" ref="F347:K347" si="203">F315-F331</f>
        <v>0</v>
      </c>
      <c r="G347" s="1">
        <f t="shared" si="203"/>
        <v>0</v>
      </c>
      <c r="H347" s="1">
        <f t="shared" si="203"/>
        <v>0</v>
      </c>
      <c r="I347" s="1">
        <f t="shared" si="203"/>
        <v>0</v>
      </c>
      <c r="J347" s="1">
        <f t="shared" si="203"/>
        <v>3.2880585700115423E-4</v>
      </c>
      <c r="K347" s="1">
        <f t="shared" si="203"/>
        <v>0.21230695085982379</v>
      </c>
    </row>
    <row r="348" spans="1:11" x14ac:dyDescent="0.35">
      <c r="A348" s="5" t="s">
        <v>5</v>
      </c>
      <c r="B348" s="5" t="s">
        <v>6</v>
      </c>
      <c r="C348" s="5" t="s">
        <v>7</v>
      </c>
      <c r="D348" t="s">
        <v>647</v>
      </c>
      <c r="E348" t="str">
        <f t="shared" si="172"/>
        <v>PJ/yr.</v>
      </c>
      <c r="F348" s="1">
        <f t="shared" ref="F348:K348" si="204">F316-F332</f>
        <v>0</v>
      </c>
      <c r="G348" s="1">
        <f t="shared" si="204"/>
        <v>0</v>
      </c>
      <c r="H348" s="1">
        <f t="shared" si="204"/>
        <v>0</v>
      </c>
      <c r="I348" s="1">
        <f t="shared" si="204"/>
        <v>0</v>
      </c>
      <c r="J348" s="1">
        <f t="shared" si="204"/>
        <v>0</v>
      </c>
      <c r="K348" s="1">
        <f t="shared" si="204"/>
        <v>0</v>
      </c>
    </row>
    <row r="349" spans="1:11" x14ac:dyDescent="0.35">
      <c r="A349" s="5" t="s">
        <v>5</v>
      </c>
      <c r="B349" s="5" t="s">
        <v>6</v>
      </c>
      <c r="C349" s="5" t="s">
        <v>7</v>
      </c>
      <c r="D349" t="s">
        <v>648</v>
      </c>
      <c r="E349" t="str">
        <f t="shared" si="172"/>
        <v>PJ/yr.</v>
      </c>
      <c r="F349" s="1">
        <f t="shared" ref="F349:K349" si="205">F317-F333</f>
        <v>4.035186878270005E-4</v>
      </c>
      <c r="G349" s="1">
        <f t="shared" si="205"/>
        <v>5.340126360783631E-5</v>
      </c>
      <c r="H349" s="1">
        <f t="shared" si="205"/>
        <v>1.7451245187550006E-4</v>
      </c>
      <c r="I349" s="1">
        <f t="shared" si="205"/>
        <v>1.4334286062914377E-4</v>
      </c>
      <c r="J349" s="1">
        <f t="shared" si="205"/>
        <v>2.4273433622335242E-4</v>
      </c>
      <c r="K349" s="1">
        <f t="shared" si="205"/>
        <v>0</v>
      </c>
    </row>
    <row r="350" spans="1:11" x14ac:dyDescent="0.35">
      <c r="A350" s="5" t="s">
        <v>5</v>
      </c>
      <c r="B350" s="5" t="s">
        <v>6</v>
      </c>
      <c r="C350" s="5" t="s">
        <v>7</v>
      </c>
      <c r="D350" t="s">
        <v>649</v>
      </c>
      <c r="E350" t="str">
        <f t="shared" si="172"/>
        <v>PJ/yr.</v>
      </c>
      <c r="F350" s="1">
        <f t="shared" ref="F350:K350" si="206">F318-F334</f>
        <v>0</v>
      </c>
      <c r="G350" s="1">
        <f t="shared" si="206"/>
        <v>0</v>
      </c>
      <c r="H350" s="1">
        <f t="shared" si="206"/>
        <v>0</v>
      </c>
      <c r="I350" s="1">
        <f t="shared" si="206"/>
        <v>0</v>
      </c>
      <c r="J350" s="1">
        <f t="shared" si="206"/>
        <v>0</v>
      </c>
      <c r="K350" s="1">
        <f t="shared" si="206"/>
        <v>0</v>
      </c>
    </row>
    <row r="351" spans="1:11" x14ac:dyDescent="0.35">
      <c r="A351" s="5" t="s">
        <v>5</v>
      </c>
      <c r="B351" s="5" t="s">
        <v>6</v>
      </c>
      <c r="C351" s="5" t="s">
        <v>7</v>
      </c>
      <c r="D351" t="s">
        <v>650</v>
      </c>
      <c r="E351" t="str">
        <f t="shared" si="172"/>
        <v>PJ/yr.</v>
      </c>
      <c r="F351" s="1">
        <f t="shared" ref="F351:K351" si="207">F319-F335</f>
        <v>6.519576227140278E-4</v>
      </c>
      <c r="G351" s="1">
        <f t="shared" si="207"/>
        <v>1.9691447135594259E-3</v>
      </c>
      <c r="H351" s="1">
        <f t="shared" si="207"/>
        <v>4.0627231420088811E-3</v>
      </c>
      <c r="I351" s="1">
        <f t="shared" si="207"/>
        <v>6.2584367407478858E-3</v>
      </c>
      <c r="J351" s="1">
        <f t="shared" si="207"/>
        <v>1.9134909743375034E-2</v>
      </c>
      <c r="K351" s="1">
        <f t="shared" si="207"/>
        <v>0</v>
      </c>
    </row>
    <row r="352" spans="1:11" x14ac:dyDescent="0.35">
      <c r="A352" s="5" t="s">
        <v>5</v>
      </c>
      <c r="B352" s="5" t="s">
        <v>6</v>
      </c>
      <c r="C352" s="5" t="s">
        <v>7</v>
      </c>
      <c r="D352" t="s">
        <v>651</v>
      </c>
      <c r="E352" t="str">
        <f t="shared" si="172"/>
        <v>PJ/yr.</v>
      </c>
      <c r="F352" s="1">
        <f t="shared" ref="F352:K352" si="208">F320-F336</f>
        <v>0</v>
      </c>
      <c r="G352" s="1">
        <f t="shared" si="208"/>
        <v>0</v>
      </c>
      <c r="H352" s="1">
        <f t="shared" si="208"/>
        <v>0</v>
      </c>
      <c r="I352" s="1">
        <f t="shared" si="208"/>
        <v>0</v>
      </c>
      <c r="J352" s="1">
        <f t="shared" si="208"/>
        <v>0</v>
      </c>
      <c r="K352" s="1">
        <f t="shared" si="208"/>
        <v>0</v>
      </c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652</v>
      </c>
      <c r="E353" t="str">
        <f t="shared" si="172"/>
        <v>PJ/yr.</v>
      </c>
      <c r="F353" s="1">
        <f t="shared" ref="F353:K353" si="209">F321-F337</f>
        <v>1.0647036070453788</v>
      </c>
      <c r="G353" s="1">
        <f t="shared" si="209"/>
        <v>1.2550224136243906</v>
      </c>
      <c r="H353" s="1">
        <f t="shared" si="209"/>
        <v>1.2994183601966478</v>
      </c>
      <c r="I353" s="1">
        <f t="shared" si="209"/>
        <v>1.380045510719959</v>
      </c>
      <c r="J353" s="1">
        <f t="shared" si="209"/>
        <v>1.5446939559450015</v>
      </c>
      <c r="K353" s="1">
        <f t="shared" si="209"/>
        <v>1.5036755969188882</v>
      </c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653</v>
      </c>
      <c r="E354" t="str">
        <f t="shared" si="172"/>
        <v>PJ/yr.</v>
      </c>
      <c r="F354" s="1">
        <f t="shared" ref="F354:K354" si="210">F322-F338</f>
        <v>1.9319396949446177E-2</v>
      </c>
      <c r="G354" s="1">
        <f t="shared" si="210"/>
        <v>1.7400283265336935E-2</v>
      </c>
      <c r="H354" s="1">
        <f t="shared" si="210"/>
        <v>9.2740489507495139E-3</v>
      </c>
      <c r="I354" s="1">
        <f t="shared" si="210"/>
        <v>3.4027647106413261E-3</v>
      </c>
      <c r="J354" s="1">
        <f t="shared" si="210"/>
        <v>1.5760939782862318E-2</v>
      </c>
      <c r="K354" s="1">
        <f t="shared" si="210"/>
        <v>0</v>
      </c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654</v>
      </c>
      <c r="E355" t="str">
        <f t="shared" si="172"/>
        <v>PJ/yr.</v>
      </c>
      <c r="F355" s="1">
        <f t="shared" ref="F355:K355" si="211">F323-F339</f>
        <v>0</v>
      </c>
      <c r="G355" s="1">
        <f t="shared" si="211"/>
        <v>0</v>
      </c>
      <c r="H355" s="1">
        <f t="shared" si="211"/>
        <v>0</v>
      </c>
      <c r="I355" s="1">
        <f t="shared" si="211"/>
        <v>0</v>
      </c>
      <c r="J355" s="1">
        <f t="shared" si="211"/>
        <v>0</v>
      </c>
      <c r="K355" s="1">
        <f t="shared" si="211"/>
        <v>0</v>
      </c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854</v>
      </c>
      <c r="E356" t="str">
        <f t="shared" ref="E356:E406" si="212">E355</f>
        <v>PJ/yr.</v>
      </c>
      <c r="F356" s="1">
        <f>SUM(F357:F362)</f>
        <v>22.495514633885939</v>
      </c>
      <c r="G356" s="1">
        <f t="shared" ref="G356:K356" si="213">SUM(G357:G362)</f>
        <v>24.624385821693362</v>
      </c>
      <c r="H356" s="1">
        <f t="shared" si="213"/>
        <v>25.163086561866006</v>
      </c>
      <c r="I356" s="1">
        <f t="shared" si="213"/>
        <v>25.357250915936991</v>
      </c>
      <c r="J356" s="1">
        <f t="shared" si="213"/>
        <v>27.128394656240982</v>
      </c>
      <c r="K356" s="1">
        <f t="shared" si="213"/>
        <v>32.736614807753966</v>
      </c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113</v>
      </c>
      <c r="E357" t="str">
        <f t="shared" si="212"/>
        <v>PJ/yr.</v>
      </c>
      <c r="F357" s="1">
        <f>'[1]Electricity and CHPs_IN'!B$19</f>
        <v>18.203593172166432</v>
      </c>
      <c r="G357" s="1">
        <f>'[1]Electricity and CHPs_IN'!C$19</f>
        <v>20.429783722893049</v>
      </c>
      <c r="H357" s="1">
        <f>'[1]Electricity and CHPs_IN'!D$19</f>
        <v>20.735359167847193</v>
      </c>
      <c r="I357" s="1">
        <f>'[1]Electricity and CHPs_IN'!E$19</f>
        <v>20.69658619067577</v>
      </c>
      <c r="J357" s="1">
        <f>'[1]Electricity and CHPs_IN'!F$19</f>
        <v>14.077923347964834</v>
      </c>
      <c r="K357" s="1">
        <f>'[1]Electricity and CHPs_IN'!G$19</f>
        <v>13.148344402260145</v>
      </c>
      <c r="O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114</v>
      </c>
      <c r="E358" t="str">
        <f t="shared" si="212"/>
        <v>PJ/yr.</v>
      </c>
      <c r="F358" s="1">
        <f>'[1]Electricity and CHPs_IN'!B$20</f>
        <v>0</v>
      </c>
      <c r="G358" s="1">
        <f>'[1]Electricity and CHPs_IN'!C$20</f>
        <v>0</v>
      </c>
      <c r="H358" s="1">
        <f>'[1]Electricity and CHPs_IN'!D$20</f>
        <v>0</v>
      </c>
      <c r="I358" s="1">
        <f>'[1]Electricity and CHPs_IN'!E$20</f>
        <v>0</v>
      </c>
      <c r="J358" s="1">
        <f>'[1]Electricity and CHPs_IN'!F$20</f>
        <v>8.0836182932092662</v>
      </c>
      <c r="K358" s="1">
        <f>'[1]Electricity and CHPs_IN'!G$20</f>
        <v>13.147406759763259</v>
      </c>
      <c r="O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115</v>
      </c>
      <c r="E359" t="str">
        <f t="shared" si="212"/>
        <v>PJ/yr.</v>
      </c>
      <c r="F359" s="1">
        <f>IFERROR(F131/SUM(F131,F196),0)*'[1]Electricity and CHPs_IN'!B$26</f>
        <v>3.8974759024540586</v>
      </c>
      <c r="G359" s="1">
        <f>IFERROR(G131/SUM(G131,G196),0)*'[1]Electricity and CHPs_IN'!C$26</f>
        <v>3.7854094520102346</v>
      </c>
      <c r="H359" s="1">
        <f>IFERROR(H131/SUM(H131,H196),0)*'[1]Electricity and CHPs_IN'!D$26</f>
        <v>3.7940660739111518</v>
      </c>
      <c r="I359" s="1">
        <f>IFERROR(I131/SUM(I131,I196),0)*'[1]Electricity and CHPs_IN'!E$26</f>
        <v>3.96635000126768</v>
      </c>
      <c r="J359" s="1">
        <f>IFERROR(J131/SUM(J131,J196),0)*'[1]Electricity and CHPs_IN'!F$26</f>
        <v>3.2360409912775538</v>
      </c>
      <c r="K359" s="1">
        <f>IFERROR(K131/SUM(K131,K196),0)*'[1]Electricity and CHPs_IN'!G$26</f>
        <v>2.6704515945853218</v>
      </c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116</v>
      </c>
      <c r="E360" t="str">
        <f t="shared" si="212"/>
        <v>PJ/yr.</v>
      </c>
      <c r="F360" s="1">
        <f>IFERROR(F132/SUM(F132,F197),0)*'[1]Electricity and CHPs_IN'!B$27</f>
        <v>0</v>
      </c>
      <c r="G360" s="1">
        <f>IFERROR(G132/SUM(G132,G197),0)*'[1]Electricity and CHPs_IN'!C$27</f>
        <v>0</v>
      </c>
      <c r="H360" s="1">
        <f>IFERROR(H132/SUM(H132,H197),0)*'[1]Electricity and CHPs_IN'!D$27</f>
        <v>0</v>
      </c>
      <c r="I360" s="1">
        <f>IFERROR(I132/SUM(I132,I197),0)*'[1]Electricity and CHPs_IN'!E$27</f>
        <v>0</v>
      </c>
      <c r="J360" s="1">
        <f>IFERROR(J132/SUM(J132,J197),0)*'[1]Electricity and CHPs_IN'!F$27</f>
        <v>0.85916036835962062</v>
      </c>
      <c r="K360" s="1">
        <f>IFERROR(K132/SUM(K132,K197),0)*'[1]Electricity and CHPs_IN'!G$27</f>
        <v>1.3501422808341064</v>
      </c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117</v>
      </c>
      <c r="E361" t="str">
        <f t="shared" si="212"/>
        <v>PJ/yr.</v>
      </c>
      <c r="F361" s="1">
        <f>IFERROR(F133/SUM(F133,F272),0)*'[1]Electricity and CHPs_IN'!B$44</f>
        <v>0.39444555926544922</v>
      </c>
      <c r="G361" s="1">
        <f>IFERROR(G133/SUM(G133,G272),0)*'[1]Electricity and CHPs_IN'!C$44</f>
        <v>0.40919264679007961</v>
      </c>
      <c r="H361" s="1">
        <f>IFERROR(H133/SUM(H133,H272),0)*'[1]Electricity and CHPs_IN'!D$44</f>
        <v>0.63366132010765996</v>
      </c>
      <c r="I361" s="1">
        <f>IFERROR(I133/SUM(I133,I272),0)*'[1]Electricity and CHPs_IN'!E$44</f>
        <v>0.694314723993539</v>
      </c>
      <c r="J361" s="1">
        <f>IFERROR(J133/SUM(J133,J272),0)*'[1]Electricity and CHPs_IN'!F$44</f>
        <v>0.5791110427964884</v>
      </c>
      <c r="K361" s="1">
        <f>IFERROR(K133/SUM(K133,K272),0)*'[1]Electricity and CHPs_IN'!G$44</f>
        <v>2.2688550487711014E-4</v>
      </c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118</v>
      </c>
      <c r="E362" t="str">
        <f t="shared" si="212"/>
        <v>PJ/yr.</v>
      </c>
      <c r="F362" s="1">
        <f>IFERROR(F134/SUM(F134,F273),0)*'[1]Electricity and CHPs_IN'!B$45</f>
        <v>0</v>
      </c>
      <c r="G362" s="1">
        <f>IFERROR(G134/SUM(G134,G273),0)*'[1]Electricity and CHPs_IN'!C$45</f>
        <v>0</v>
      </c>
      <c r="H362" s="1">
        <f>IFERROR(H134/SUM(H134,H273),0)*'[1]Electricity and CHPs_IN'!D$45</f>
        <v>0</v>
      </c>
      <c r="I362" s="1">
        <f>IFERROR(I134/SUM(I134,I273),0)*'[1]Electricity and CHPs_IN'!E$45</f>
        <v>0</v>
      </c>
      <c r="J362" s="1">
        <f>IFERROR(J134/SUM(J134,J273),0)*'[1]Electricity and CHPs_IN'!F$45</f>
        <v>0.29254061263321679</v>
      </c>
      <c r="K362" s="1">
        <f>IFERROR(K134/SUM(K134,K273),0)*'[1]Electricity and CHPs_IN'!G$45</f>
        <v>2.4200428848062536</v>
      </c>
      <c r="O362" s="4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855</v>
      </c>
      <c r="E363" t="str">
        <f t="shared" si="212"/>
        <v>PJ/yr.</v>
      </c>
      <c r="F363" s="1">
        <f>SUM(F364:F367)</f>
        <v>11.050534537310245</v>
      </c>
      <c r="G363" s="1">
        <f t="shared" ref="G363:K363" si="214">SUM(G364:G367)</f>
        <v>12.10759658745164</v>
      </c>
      <c r="H363" s="1">
        <f t="shared" si="214"/>
        <v>12.264712620879173</v>
      </c>
      <c r="I363" s="1">
        <f t="shared" si="214"/>
        <v>12.331468095971724</v>
      </c>
      <c r="J363" s="1">
        <f t="shared" si="214"/>
        <v>13.12837150040564</v>
      </c>
      <c r="K363" s="1">
        <f t="shared" si="214"/>
        <v>15.158172518721416</v>
      </c>
      <c r="O363" s="7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119</v>
      </c>
      <c r="E364" t="str">
        <f t="shared" si="212"/>
        <v>PJ/yr.</v>
      </c>
      <c r="F364" s="1">
        <f>F357*IFERROR(F136/F129,0)</f>
        <v>9.101796586083216</v>
      </c>
      <c r="G364" s="1">
        <f t="shared" ref="G364:K364" si="215">G357*IFERROR(G136/G129,0)</f>
        <v>10.214891861446523</v>
      </c>
      <c r="H364" s="1">
        <f t="shared" si="215"/>
        <v>10.367679583923596</v>
      </c>
      <c r="I364" s="1">
        <f t="shared" si="215"/>
        <v>10.348293095337883</v>
      </c>
      <c r="J364" s="1">
        <f t="shared" si="215"/>
        <v>7.038961673982417</v>
      </c>
      <c r="K364" s="1">
        <f t="shared" si="215"/>
        <v>6.5741722011300725</v>
      </c>
      <c r="O364" s="1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120</v>
      </c>
      <c r="E365" t="str">
        <f t="shared" si="212"/>
        <v>PJ/yr.</v>
      </c>
      <c r="F365" s="1">
        <f t="shared" ref="F365:K365" si="216">F358*IFERROR(F137/F130,0)</f>
        <v>0</v>
      </c>
      <c r="G365" s="1">
        <f t="shared" si="216"/>
        <v>0</v>
      </c>
      <c r="H365" s="1">
        <f t="shared" si="216"/>
        <v>0</v>
      </c>
      <c r="I365" s="1">
        <f t="shared" si="216"/>
        <v>0</v>
      </c>
      <c r="J365" s="1">
        <f t="shared" si="216"/>
        <v>4.041809146604634</v>
      </c>
      <c r="K365" s="1">
        <f t="shared" si="216"/>
        <v>6.5737033798816293</v>
      </c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121</v>
      </c>
      <c r="E366" t="str">
        <f t="shared" si="212"/>
        <v>PJ/yr.</v>
      </c>
      <c r="F366" s="1">
        <f t="shared" ref="F366:K366" si="217">F359*IFERROR(F138/F131,0)</f>
        <v>1.9487379512270291</v>
      </c>
      <c r="G366" s="1">
        <f t="shared" si="217"/>
        <v>1.8927047260051173</v>
      </c>
      <c r="H366" s="1">
        <f t="shared" si="217"/>
        <v>1.8970330369555759</v>
      </c>
      <c r="I366" s="1">
        <f t="shared" si="217"/>
        <v>1.9831750006338404</v>
      </c>
      <c r="J366" s="1">
        <f t="shared" si="217"/>
        <v>1.6180204956387769</v>
      </c>
      <c r="K366" s="1">
        <f t="shared" si="217"/>
        <v>1.3352257972926609</v>
      </c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122</v>
      </c>
      <c r="E367" t="str">
        <f t="shared" si="212"/>
        <v>PJ/yr.</v>
      </c>
      <c r="F367" s="1">
        <f t="shared" ref="F367:K367" si="218">F360*IFERROR(F139/F132,0)</f>
        <v>0</v>
      </c>
      <c r="G367" s="1">
        <f t="shared" si="218"/>
        <v>0</v>
      </c>
      <c r="H367" s="1">
        <f t="shared" si="218"/>
        <v>0</v>
      </c>
      <c r="I367" s="1">
        <f t="shared" si="218"/>
        <v>0</v>
      </c>
      <c r="J367" s="1">
        <f t="shared" si="218"/>
        <v>0.42958018417981031</v>
      </c>
      <c r="K367" s="1">
        <f t="shared" si="218"/>
        <v>0.67507114041705318</v>
      </c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123</v>
      </c>
      <c r="E368" t="str">
        <f t="shared" si="212"/>
        <v>PJ/yr.</v>
      </c>
      <c r="F368" s="1">
        <f t="shared" ref="F368:K368" si="219">F361*IFERROR(F140/F133,0)</f>
        <v>0</v>
      </c>
      <c r="G368" s="1">
        <f t="shared" si="219"/>
        <v>0</v>
      </c>
      <c r="H368" s="1">
        <f t="shared" si="219"/>
        <v>0</v>
      </c>
      <c r="I368" s="1">
        <f t="shared" si="219"/>
        <v>0</v>
      </c>
      <c r="J368" s="1">
        <f t="shared" si="219"/>
        <v>0</v>
      </c>
      <c r="K368" s="1">
        <f t="shared" si="219"/>
        <v>0</v>
      </c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124</v>
      </c>
      <c r="E369" t="str">
        <f t="shared" si="212"/>
        <v>PJ/yr.</v>
      </c>
      <c r="F369" s="1">
        <f t="shared" ref="F369:K369" si="220">F362*IFERROR(F141/F134,0)</f>
        <v>0</v>
      </c>
      <c r="G369" s="1">
        <f t="shared" si="220"/>
        <v>0</v>
      </c>
      <c r="H369" s="1">
        <f t="shared" si="220"/>
        <v>0</v>
      </c>
      <c r="I369" s="1">
        <f t="shared" si="220"/>
        <v>0</v>
      </c>
      <c r="J369" s="1">
        <f t="shared" si="220"/>
        <v>0</v>
      </c>
      <c r="K369" s="1">
        <f t="shared" si="220"/>
        <v>0</v>
      </c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856</v>
      </c>
      <c r="E370" t="str">
        <f t="shared" si="212"/>
        <v>PJ/yr.</v>
      </c>
      <c r="F370" s="1">
        <f>SUM(F371:F376)</f>
        <v>11.444980096575694</v>
      </c>
      <c r="G370" s="1">
        <f t="shared" ref="G370:K370" si="221">SUM(G371:G376)</f>
        <v>12.516789234241722</v>
      </c>
      <c r="H370" s="1">
        <f t="shared" si="221"/>
        <v>12.898373940986833</v>
      </c>
      <c r="I370" s="1">
        <f t="shared" si="221"/>
        <v>13.025782819965265</v>
      </c>
      <c r="J370" s="1">
        <f t="shared" si="221"/>
        <v>14.000023155835342</v>
      </c>
      <c r="K370" s="1">
        <f t="shared" si="221"/>
        <v>17.578442289032548</v>
      </c>
      <c r="M370" s="1"/>
      <c r="N370" s="1"/>
      <c r="O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125</v>
      </c>
      <c r="E371" t="str">
        <f t="shared" si="212"/>
        <v>PJ/yr.</v>
      </c>
      <c r="F371" s="1">
        <f t="shared" ref="F371:K371" si="222">F364*IFERROR(F143/F136,0)</f>
        <v>9.101796586083216</v>
      </c>
      <c r="G371" s="1">
        <f t="shared" si="222"/>
        <v>10.214891861446525</v>
      </c>
      <c r="H371" s="1">
        <f t="shared" si="222"/>
        <v>10.367679583923596</v>
      </c>
      <c r="I371" s="1">
        <f t="shared" si="222"/>
        <v>10.348293095337885</v>
      </c>
      <c r="J371" s="1">
        <f t="shared" si="222"/>
        <v>7.038961673982417</v>
      </c>
      <c r="K371" s="1">
        <f t="shared" si="222"/>
        <v>6.5741722011300725</v>
      </c>
      <c r="M371" s="1"/>
      <c r="N371" s="1"/>
      <c r="O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126</v>
      </c>
      <c r="E372" t="str">
        <f t="shared" si="212"/>
        <v>PJ/yr.</v>
      </c>
      <c r="F372" s="1">
        <f t="shared" ref="F372:K372" si="223">F365*IFERROR(F144/F137,0)</f>
        <v>0</v>
      </c>
      <c r="G372" s="1">
        <f t="shared" si="223"/>
        <v>0</v>
      </c>
      <c r="H372" s="1">
        <f t="shared" si="223"/>
        <v>0</v>
      </c>
      <c r="I372" s="1">
        <f t="shared" si="223"/>
        <v>0</v>
      </c>
      <c r="J372" s="1">
        <f t="shared" si="223"/>
        <v>4.0418091466046322</v>
      </c>
      <c r="K372" s="1">
        <f t="shared" si="223"/>
        <v>6.5737033798816293</v>
      </c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127</v>
      </c>
      <c r="E373" t="str">
        <f t="shared" si="212"/>
        <v>PJ/yr.</v>
      </c>
      <c r="F373" s="1">
        <f t="shared" ref="F373:K373" si="224">F366*IFERROR(F145/F138,0)</f>
        <v>1.9487379512270295</v>
      </c>
      <c r="G373" s="1">
        <f t="shared" si="224"/>
        <v>1.8927047260051173</v>
      </c>
      <c r="H373" s="1">
        <f t="shared" si="224"/>
        <v>1.8970330369555759</v>
      </c>
      <c r="I373" s="1">
        <f t="shared" si="224"/>
        <v>1.9831750006338398</v>
      </c>
      <c r="J373" s="1">
        <f t="shared" si="224"/>
        <v>1.6180204956387769</v>
      </c>
      <c r="K373" s="1">
        <f t="shared" si="224"/>
        <v>1.3352257972926609</v>
      </c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128</v>
      </c>
      <c r="E374" t="str">
        <f t="shared" si="212"/>
        <v>PJ/yr.</v>
      </c>
      <c r="F374" s="1">
        <f t="shared" ref="F374:K374" si="225">F367*IFERROR(F146/F139,0)</f>
        <v>0</v>
      </c>
      <c r="G374" s="1">
        <f t="shared" si="225"/>
        <v>0</v>
      </c>
      <c r="H374" s="1">
        <f t="shared" si="225"/>
        <v>0</v>
      </c>
      <c r="I374" s="1">
        <f t="shared" si="225"/>
        <v>0</v>
      </c>
      <c r="J374" s="1">
        <f t="shared" si="225"/>
        <v>0.42958018417981031</v>
      </c>
      <c r="K374" s="1">
        <f t="shared" si="225"/>
        <v>0.67507114041705318</v>
      </c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129</v>
      </c>
      <c r="E375" t="str">
        <f t="shared" si="212"/>
        <v>PJ/yr.</v>
      </c>
      <c r="F375" s="1">
        <f>F361</f>
        <v>0.39444555926544922</v>
      </c>
      <c r="G375" s="1">
        <f t="shared" ref="G375:K375" si="226">G361</f>
        <v>0.40919264679007961</v>
      </c>
      <c r="H375" s="1">
        <f t="shared" si="226"/>
        <v>0.63366132010765996</v>
      </c>
      <c r="I375" s="1">
        <f t="shared" si="226"/>
        <v>0.694314723993539</v>
      </c>
      <c r="J375" s="1">
        <f t="shared" si="226"/>
        <v>0.5791110427964884</v>
      </c>
      <c r="K375" s="1">
        <f t="shared" si="226"/>
        <v>2.2688550487711014E-4</v>
      </c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130</v>
      </c>
      <c r="E376" t="str">
        <f t="shared" si="212"/>
        <v>PJ/yr.</v>
      </c>
      <c r="F376" s="1">
        <f t="shared" ref="F376:K376" si="227">F362</f>
        <v>0</v>
      </c>
      <c r="G376" s="1">
        <f t="shared" si="227"/>
        <v>0</v>
      </c>
      <c r="H376" s="1">
        <f t="shared" si="227"/>
        <v>0</v>
      </c>
      <c r="I376" s="1">
        <f t="shared" si="227"/>
        <v>0</v>
      </c>
      <c r="J376" s="1">
        <f t="shared" si="227"/>
        <v>0.29254061263321679</v>
      </c>
      <c r="K376" s="1">
        <f t="shared" si="227"/>
        <v>2.4200428848062536</v>
      </c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857</v>
      </c>
      <c r="E377" t="str">
        <f t="shared" si="212"/>
        <v>PJ/yr.</v>
      </c>
      <c r="F377" s="1">
        <f>SUM(F378:F384)</f>
        <v>0.50821131318380464</v>
      </c>
      <c r="G377" s="1">
        <f t="shared" ref="G377:K377" si="228">SUM(G378:G384)</f>
        <v>0.51533912410670646</v>
      </c>
      <c r="H377" s="1">
        <f t="shared" si="228"/>
        <v>1.056340946170732</v>
      </c>
      <c r="I377" s="1">
        <f t="shared" si="228"/>
        <v>2.8411154136292902</v>
      </c>
      <c r="J377" s="1">
        <f t="shared" si="228"/>
        <v>4.2085750511527893</v>
      </c>
      <c r="K377" s="1">
        <f t="shared" si="228"/>
        <v>5.1181263297962438</v>
      </c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131</v>
      </c>
      <c r="E378" t="str">
        <f t="shared" si="212"/>
        <v>PJ/yr.</v>
      </c>
      <c r="F378" s="1">
        <f>IFERROR(F150/SUM(F150,F205),0)*'[1]Electricity and CHPs_IN'!B$25</f>
        <v>0.32729899688414804</v>
      </c>
      <c r="G378" s="1">
        <f>IFERROR(G150/SUM(G150,G205),0)*'[1]Electricity and CHPs_IN'!C$25</f>
        <v>2.9565926180188684E-7</v>
      </c>
      <c r="H378" s="1">
        <f>IFERROR(H150/SUM(H150,H205),0)*'[1]Electricity and CHPs_IN'!D$25</f>
        <v>9.7857213089033915E-7</v>
      </c>
      <c r="I378" s="1">
        <f>IFERROR(I150/SUM(I150,I205),0)*'[1]Electricity and CHPs_IN'!E$25</f>
        <v>1.0789684917929303</v>
      </c>
      <c r="J378" s="1">
        <f>IFERROR(J150/SUM(J150,J205),0)*'[1]Electricity and CHPs_IN'!F$25</f>
        <v>1.20987336169434</v>
      </c>
      <c r="K378" s="1">
        <f>IFERROR(K150/SUM(K150,K205),0)*'[1]Electricity and CHPs_IN'!G$25</f>
        <v>1.120230216230848</v>
      </c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132</v>
      </c>
      <c r="E379" t="str">
        <f t="shared" si="212"/>
        <v>PJ/yr.</v>
      </c>
      <c r="F379" s="1">
        <f>'[1]Electricity and CHPs_IN'!B$31</f>
        <v>0</v>
      </c>
      <c r="G379" s="1">
        <f>'[1]Electricity and CHPs_IN'!C$31</f>
        <v>0</v>
      </c>
      <c r="H379" s="1">
        <f>'[1]Electricity and CHPs_IN'!D$31</f>
        <v>0</v>
      </c>
      <c r="I379" s="1">
        <f>'[1]Electricity and CHPs_IN'!E$31</f>
        <v>0</v>
      </c>
      <c r="J379" s="1">
        <f>'[1]Electricity and CHPs_IN'!F$31</f>
        <v>1.943595152801938E-3</v>
      </c>
      <c r="K379" s="1">
        <f>'[1]Electricity and CHPs_IN'!G$31</f>
        <v>7.0856355190218202E-3</v>
      </c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133</v>
      </c>
      <c r="E380" t="str">
        <f t="shared" si="212"/>
        <v>PJ/yr.</v>
      </c>
      <c r="F380" s="1">
        <f>IFERROR(F152/SUM(F152,F281),0)*'[1]Electricity and CHPs_IN'!B$42</f>
        <v>0.18091231629965665</v>
      </c>
      <c r="G380" s="1">
        <f>IFERROR(G152/SUM(G152,G281),0)*'[1]Electricity and CHPs_IN'!C$42</f>
        <v>0.51533882844744461</v>
      </c>
      <c r="H380" s="1">
        <f>IFERROR(H152/SUM(H152,H281),0)*'[1]Electricity and CHPs_IN'!D$42</f>
        <v>1.0563399675986012</v>
      </c>
      <c r="I380" s="1">
        <f>IFERROR(I152/SUM(I152,I281),0)*'[1]Electricity and CHPs_IN'!E$42</f>
        <v>1.7589895355494081</v>
      </c>
      <c r="J380" s="1">
        <f>IFERROR(J152/SUM(J152,J281),0)*'[1]Electricity and CHPs_IN'!F$42</f>
        <v>1.5690795373710282</v>
      </c>
      <c r="K380" s="1">
        <f>IFERROR(K152/SUM(K152,K281),0)*'[1]Electricity and CHPs_IN'!G$42</f>
        <v>1.4981623101371102</v>
      </c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134</v>
      </c>
      <c r="E381" t="str">
        <f t="shared" si="212"/>
        <v>PJ/yr.</v>
      </c>
      <c r="F381" s="1">
        <f>IFERROR(F153/SUM(F153,F282),0)*'[1]Electricity and CHPs_IN'!B$43</f>
        <v>0</v>
      </c>
      <c r="G381" s="1">
        <f>IFERROR(G153/SUM(G153,G282),0)*'[1]Electricity and CHPs_IN'!C$43</f>
        <v>0</v>
      </c>
      <c r="H381" s="1">
        <f>IFERROR(H153/SUM(H153,H282),0)*'[1]Electricity and CHPs_IN'!D$43</f>
        <v>0</v>
      </c>
      <c r="I381" s="1">
        <f>IFERROR(I153/SUM(I153,I282),0)*'[1]Electricity and CHPs_IN'!E$43</f>
        <v>0</v>
      </c>
      <c r="J381" s="1">
        <f>IFERROR(J153/SUM(J153,J282),0)*'[1]Electricity and CHPs_IN'!F$43</f>
        <v>1.0751064791602223</v>
      </c>
      <c r="K381" s="1">
        <f>IFERROR(K153/SUM(K153,K282),0)*'[1]Electricity and CHPs_IN'!G$43</f>
        <v>2.2693745533904051</v>
      </c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135</v>
      </c>
      <c r="E382" t="str">
        <f t="shared" si="212"/>
        <v>PJ/yr.</v>
      </c>
      <c r="F382" s="1">
        <f>IFERROR(F154/SUM(F283,F154),0)*'[1]Electricity and CHPs_IN'!B$50</f>
        <v>0</v>
      </c>
      <c r="G382" s="1">
        <f>IFERROR(G154/SUM(G283,G154),0)*'[1]Electricity and CHPs_IN'!C$50</f>
        <v>0</v>
      </c>
      <c r="H382" s="1">
        <f>IFERROR(H154/SUM(H283,H154),0)*'[1]Electricity and CHPs_IN'!D$50</f>
        <v>0</v>
      </c>
      <c r="I382" s="1">
        <f>IFERROR(I154/SUM(I283,I154),0)*'[1]Electricity and CHPs_IN'!E$50</f>
        <v>6.278001868338756E-4</v>
      </c>
      <c r="J382" s="1">
        <f>IFERROR(J154/SUM(J283,J154),0)*'[1]Electricity and CHPs_IN'!F$50</f>
        <v>1.4872432343851711E-3</v>
      </c>
      <c r="K382" s="1">
        <f>IFERROR(K154/SUM(K283,K154),0)*'[1]Electricity and CHPs_IN'!G$50</f>
        <v>5.6284190507596785E-4</v>
      </c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136</v>
      </c>
      <c r="E383" t="str">
        <f t="shared" si="212"/>
        <v>PJ/yr.</v>
      </c>
      <c r="F383" s="1">
        <f>IFERROR(F155/SUM(F284,F155),0)*'[1]Electricity and CHPs_IN'!B$53</f>
        <v>0</v>
      </c>
      <c r="G383" s="1">
        <f>IFERROR(G155/SUM(G284,G155),0)*'[1]Electricity and CHPs_IN'!C$53</f>
        <v>0</v>
      </c>
      <c r="H383" s="1">
        <f>IFERROR(H155/SUM(H284,H155),0)*'[1]Electricity and CHPs_IN'!D$53</f>
        <v>0</v>
      </c>
      <c r="I383" s="1">
        <f>IFERROR(I155/SUM(I284,I155),0)*'[1]Electricity and CHPs_IN'!E$53</f>
        <v>2.0832616701188986E-3</v>
      </c>
      <c r="J383" s="1">
        <f>IFERROR(J155/SUM(J284,J155),0)*'[1]Electricity and CHPs_IN'!F$53</f>
        <v>0.34976492078625665</v>
      </c>
      <c r="K383" s="1">
        <f>IFERROR(K155/SUM(K284,K155),0)*'[1]Electricity and CHPs_IN'!G$53</f>
        <v>0.22240365444057855</v>
      </c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294</v>
      </c>
      <c r="E384" t="str">
        <f t="shared" si="212"/>
        <v>PJ/yr.</v>
      </c>
      <c r="F384" s="1">
        <f>IFERROR(F156/SUM(F285,F156),0)*'[1]Electricity and CHPs_IN'!B$56</f>
        <v>0</v>
      </c>
      <c r="G384" s="1">
        <f>IFERROR(G156/SUM(G285,G156),0)*'[1]Electricity and CHPs_IN'!C$56</f>
        <v>0</v>
      </c>
      <c r="H384" s="1">
        <f>IFERROR(H156/SUM(H285,H156),0)*'[1]Electricity and CHPs_IN'!D$56</f>
        <v>0</v>
      </c>
      <c r="I384" s="1">
        <f>IFERROR(I156/SUM(I285,I156),0)*'[1]Electricity and CHPs_IN'!E$56</f>
        <v>4.4632442999899616E-4</v>
      </c>
      <c r="J384" s="1">
        <f>IFERROR(J156/SUM(J285,J156),0)*'[1]Electricity and CHPs_IN'!F$56</f>
        <v>1.319913753755179E-3</v>
      </c>
      <c r="K384" s="1">
        <f>IFERROR(K156/SUM(K285,K156),0)*'[1]Electricity and CHPs_IN'!G$56</f>
        <v>3.071181732041961E-4</v>
      </c>
    </row>
    <row r="385" spans="1:11" x14ac:dyDescent="0.35">
      <c r="A385" s="5" t="s">
        <v>5</v>
      </c>
      <c r="B385" s="5" t="s">
        <v>6</v>
      </c>
      <c r="C385" s="5" t="s">
        <v>7</v>
      </c>
      <c r="D385" t="s">
        <v>858</v>
      </c>
      <c r="E385" t="str">
        <f t="shared" si="212"/>
        <v>PJ/yr.</v>
      </c>
      <c r="F385" s="1">
        <f>F386</f>
        <v>0.52400000000000047</v>
      </c>
      <c r="G385" s="1">
        <f t="shared" ref="G385:K385" si="229">G386</f>
        <v>0.54529202407596833</v>
      </c>
      <c r="H385" s="1">
        <f t="shared" si="229"/>
        <v>0.50316462240951687</v>
      </c>
      <c r="I385" s="1">
        <f t="shared" si="229"/>
        <v>2.0502620649064438</v>
      </c>
      <c r="J385" s="1">
        <f t="shared" si="229"/>
        <v>3.5228267551637362</v>
      </c>
      <c r="K385" s="1">
        <f t="shared" si="229"/>
        <v>14.102832966782467</v>
      </c>
    </row>
    <row r="386" spans="1:11" x14ac:dyDescent="0.35">
      <c r="A386" s="5" t="s">
        <v>5</v>
      </c>
      <c r="B386" s="5" t="s">
        <v>6</v>
      </c>
      <c r="C386" s="5" t="s">
        <v>7</v>
      </c>
      <c r="D386" t="s">
        <v>137</v>
      </c>
      <c r="E386" t="str">
        <f t="shared" si="212"/>
        <v>PJ/yr.</v>
      </c>
      <c r="F386" s="1">
        <f>'[1]Electricity and CHPs_IN'!B$33</f>
        <v>0.52400000000000047</v>
      </c>
      <c r="G386" s="1">
        <f>'[1]Electricity and CHPs_IN'!C$33</f>
        <v>0.54529202407596833</v>
      </c>
      <c r="H386" s="1">
        <f>'[1]Electricity and CHPs_IN'!D$33</f>
        <v>0.50316462240951687</v>
      </c>
      <c r="I386" s="1">
        <f>'[1]Electricity and CHPs_IN'!E$33</f>
        <v>2.0502620649064438</v>
      </c>
      <c r="J386" s="1">
        <f>'[1]Electricity and CHPs_IN'!F$33</f>
        <v>3.5228267551637362</v>
      </c>
      <c r="K386" s="1">
        <f>'[1]Electricity and CHPs_IN'!G$33</f>
        <v>14.102832966782467</v>
      </c>
    </row>
    <row r="387" spans="1:11" x14ac:dyDescent="0.35">
      <c r="A387" s="5" t="s">
        <v>5</v>
      </c>
      <c r="B387" s="5" t="s">
        <v>6</v>
      </c>
      <c r="C387" s="5" t="s">
        <v>7</v>
      </c>
      <c r="D387" t="s">
        <v>859</v>
      </c>
      <c r="E387" t="str">
        <f t="shared" si="212"/>
        <v>PJ/yr.</v>
      </c>
      <c r="F387" s="1">
        <f>SUM(F388:F392)</f>
        <v>9.3550000000000111</v>
      </c>
      <c r="G387" s="1">
        <f t="shared" ref="G387:K387" si="230">SUM(G388:G392)</f>
        <v>12.822540912176486</v>
      </c>
      <c r="H387" s="1">
        <f t="shared" si="230"/>
        <v>28.800005469152033</v>
      </c>
      <c r="I387" s="1">
        <f t="shared" si="230"/>
        <v>35.400795700873331</v>
      </c>
      <c r="J387" s="1">
        <f t="shared" si="230"/>
        <v>75.728413528154462</v>
      </c>
      <c r="K387" s="1">
        <f t="shared" si="230"/>
        <v>105.70610270981496</v>
      </c>
    </row>
    <row r="388" spans="1:11" x14ac:dyDescent="0.35">
      <c r="A388" s="5" t="s">
        <v>5</v>
      </c>
      <c r="B388" s="5" t="s">
        <v>6</v>
      </c>
      <c r="C388" s="5" t="s">
        <v>7</v>
      </c>
      <c r="D388" t="s">
        <v>138</v>
      </c>
      <c r="E388" t="str">
        <f t="shared" si="212"/>
        <v>PJ/yr.</v>
      </c>
      <c r="F388" s="1">
        <f>'[1]Electricity and CHPs_IN'!B34</f>
        <v>0</v>
      </c>
      <c r="G388" s="1">
        <f>'[1]Electricity and CHPs_IN'!C34</f>
        <v>0</v>
      </c>
      <c r="H388" s="1">
        <f>'[1]Electricity and CHPs_IN'!D34</f>
        <v>0.14080599505170271</v>
      </c>
      <c r="I388" s="1">
        <f>'[1]Electricity and CHPs_IN'!E34</f>
        <v>0.23805417087511158</v>
      </c>
      <c r="J388" s="1">
        <f>'[1]Electricity and CHPs_IN'!F34</f>
        <v>2.5415870163117207</v>
      </c>
      <c r="K388" s="1">
        <f>'[1]Electricity and CHPs_IN'!G34</f>
        <v>7.3435169214838325</v>
      </c>
    </row>
    <row r="389" spans="1:11" x14ac:dyDescent="0.35">
      <c r="A389" s="5" t="s">
        <v>5</v>
      </c>
      <c r="B389" s="5" t="s">
        <v>6</v>
      </c>
      <c r="C389" s="5" t="s">
        <v>7</v>
      </c>
      <c r="D389" t="s">
        <v>139</v>
      </c>
      <c r="E389" t="str">
        <f t="shared" si="212"/>
        <v>PJ/yr.</v>
      </c>
      <c r="F389" s="1">
        <f>'[1]Electricity and CHPs_IN'!B35</f>
        <v>3.517953999707534</v>
      </c>
      <c r="G389" s="1">
        <f>'[1]Electricity and CHPs_IN'!C35</f>
        <v>4.8498357454346204</v>
      </c>
      <c r="H389" s="1">
        <f>'[1]Electricity and CHPs_IN'!D35</f>
        <v>11.161627644528886</v>
      </c>
      <c r="I389" s="1">
        <f>'[1]Electricity and CHPs_IN'!E35</f>
        <v>16.258297366025332</v>
      </c>
      <c r="J389" s="1">
        <f>'[1]Electricity and CHPs_IN'!F35</f>
        <v>40.834405027552961</v>
      </c>
      <c r="K389" s="1">
        <f>'[1]Electricity and CHPs_IN'!G35</f>
        <v>64.334261714438298</v>
      </c>
    </row>
    <row r="390" spans="1:11" x14ac:dyDescent="0.35">
      <c r="A390" s="5" t="s">
        <v>5</v>
      </c>
      <c r="B390" s="5" t="s">
        <v>6</v>
      </c>
      <c r="C390" s="5" t="s">
        <v>7</v>
      </c>
      <c r="D390" t="s">
        <v>140</v>
      </c>
      <c r="E390" t="str">
        <f t="shared" si="212"/>
        <v>PJ/yr.</v>
      </c>
      <c r="F390" s="1">
        <f>'[1]Electricity and CHPs_IN'!B36</f>
        <v>2.1349390887346629</v>
      </c>
      <c r="G390" s="1">
        <f>'[1]Electricity and CHPs_IN'!C36</f>
        <v>3.3906663604551355</v>
      </c>
      <c r="H390" s="1">
        <f>'[1]Electricity and CHPs_IN'!D36</f>
        <v>4.0419321046137471</v>
      </c>
      <c r="I390" s="1">
        <f>'[1]Electricity and CHPs_IN'!E36</f>
        <v>4.3456932846768277</v>
      </c>
      <c r="J390" s="1">
        <f>'[1]Electricity and CHPs_IN'!F36</f>
        <v>1.5499492061752056</v>
      </c>
      <c r="K390" s="1">
        <f>'[1]Electricity and CHPs_IN'!G36</f>
        <v>3.2251082784662613E-3</v>
      </c>
    </row>
    <row r="391" spans="1:11" x14ac:dyDescent="0.35">
      <c r="A391" s="5" t="s">
        <v>5</v>
      </c>
      <c r="B391" s="5" t="s">
        <v>6</v>
      </c>
      <c r="C391" s="5" t="s">
        <v>7</v>
      </c>
      <c r="D391" t="s">
        <v>141</v>
      </c>
      <c r="E391" t="str">
        <f t="shared" si="212"/>
        <v>PJ/yr.</v>
      </c>
      <c r="F391" s="1">
        <f>'[1]Electricity and CHPs_IN'!B37</f>
        <v>0.86248322578584768</v>
      </c>
      <c r="G391" s="1">
        <f>'[1]Electricity and CHPs_IN'!C37</f>
        <v>1.2875837493169007</v>
      </c>
      <c r="H391" s="1">
        <f>'[1]Electricity and CHPs_IN'!D37</f>
        <v>3.4890331645823487</v>
      </c>
      <c r="I391" s="1">
        <f>'[1]Electricity and CHPs_IN'!E37</f>
        <v>3.8210149534208169</v>
      </c>
      <c r="J391" s="1">
        <f>'[1]Electricity and CHPs_IN'!F37</f>
        <v>4.2207934377488368</v>
      </c>
      <c r="K391" s="1">
        <f>'[1]Electricity and CHPs_IN'!G37</f>
        <v>4.6623857063809417</v>
      </c>
    </row>
    <row r="392" spans="1:11" x14ac:dyDescent="0.35">
      <c r="A392" s="5" t="s">
        <v>5</v>
      </c>
      <c r="B392" s="5" t="s">
        <v>6</v>
      </c>
      <c r="C392" s="5" t="s">
        <v>7</v>
      </c>
      <c r="D392" t="s">
        <v>142</v>
      </c>
      <c r="E392" t="str">
        <f t="shared" si="212"/>
        <v>PJ/yr.</v>
      </c>
      <c r="F392" s="1">
        <f>'[1]Electricity and CHPs_IN'!B38</f>
        <v>2.8396236857719668</v>
      </c>
      <c r="G392" s="1">
        <f>'[1]Electricity and CHPs_IN'!C38</f>
        <v>3.2944550569698281</v>
      </c>
      <c r="H392" s="1">
        <f>'[1]Electricity and CHPs_IN'!D38</f>
        <v>9.9666065603753466</v>
      </c>
      <c r="I392" s="1">
        <f>'[1]Electricity and CHPs_IN'!E38</f>
        <v>10.737735925875244</v>
      </c>
      <c r="J392" s="1">
        <f>'[1]Electricity and CHPs_IN'!F38</f>
        <v>26.581678840365736</v>
      </c>
      <c r="K392" s="1">
        <f>'[1]Electricity and CHPs_IN'!G38</f>
        <v>29.362713259233413</v>
      </c>
    </row>
    <row r="393" spans="1:11" x14ac:dyDescent="0.35">
      <c r="A393" s="5" t="s">
        <v>5</v>
      </c>
      <c r="B393" s="5" t="s">
        <v>6</v>
      </c>
      <c r="C393" s="5" t="s">
        <v>7</v>
      </c>
      <c r="D393" t="s">
        <v>860</v>
      </c>
      <c r="E393" t="str">
        <f t="shared" si="212"/>
        <v>PJ/yr.</v>
      </c>
      <c r="F393" s="1">
        <f>'[1]Electricity and CHPs'!B252</f>
        <v>0</v>
      </c>
      <c r="G393" s="1">
        <f>'[1]Electricity and CHPs'!C252</f>
        <v>0</v>
      </c>
      <c r="H393" s="1">
        <f>'[1]Electricity and CHPs'!D252</f>
        <v>0</v>
      </c>
      <c r="I393" s="1">
        <f>'[1]Electricity and CHPs'!E252</f>
        <v>0</v>
      </c>
      <c r="J393" s="1">
        <f>'[1]Electricity and CHPs'!F252</f>
        <v>0</v>
      </c>
      <c r="K393" s="1">
        <f>'[1]Electricity and CHPs'!G252</f>
        <v>0</v>
      </c>
    </row>
    <row r="394" spans="1:11" x14ac:dyDescent="0.35">
      <c r="A394" s="5" t="s">
        <v>5</v>
      </c>
      <c r="B394" s="5" t="s">
        <v>6</v>
      </c>
      <c r="C394" s="5" t="s">
        <v>7</v>
      </c>
      <c r="D394" t="s">
        <v>143</v>
      </c>
      <c r="E394" t="str">
        <f t="shared" si="212"/>
        <v>PJ/yr.</v>
      </c>
      <c r="F394" s="1">
        <f>'[1]Electricity and CHPs_IN'!B$32</f>
        <v>0</v>
      </c>
      <c r="G394" s="1">
        <f>'[1]Electricity and CHPs_IN'!C$32</f>
        <v>0</v>
      </c>
      <c r="H394" s="1">
        <f>'[1]Electricity and CHPs_IN'!D$32</f>
        <v>0</v>
      </c>
      <c r="I394" s="1">
        <f>'[1]Electricity and CHPs_IN'!E$32</f>
        <v>0</v>
      </c>
      <c r="J394" s="1">
        <f>'[1]Electricity and CHPs_IN'!F$32</f>
        <v>0.5589350528718614</v>
      </c>
      <c r="K394" s="1">
        <f>'[1]Electricity and CHPs_IN'!G$32</f>
        <v>21.380693528584278</v>
      </c>
    </row>
    <row r="395" spans="1:11" x14ac:dyDescent="0.35">
      <c r="A395" s="5" t="s">
        <v>5</v>
      </c>
      <c r="B395" s="5" t="s">
        <v>6</v>
      </c>
      <c r="C395" s="5" t="s">
        <v>7</v>
      </c>
      <c r="D395" t="s">
        <v>861</v>
      </c>
      <c r="E395" t="str">
        <f t="shared" si="212"/>
        <v>PJ/yr.</v>
      </c>
      <c r="F395" s="1">
        <f t="shared" ref="F395" si="231">SUM(F396:F398)</f>
        <v>0</v>
      </c>
      <c r="G395" s="1">
        <f t="shared" ref="G395" si="232">SUM(G396:G398)</f>
        <v>0</v>
      </c>
      <c r="H395" s="1">
        <f t="shared" ref="H395" si="233">SUM(H396:H398)</f>
        <v>0</v>
      </c>
      <c r="I395" s="1">
        <f t="shared" ref="I395" si="234">SUM(I396:I398)</f>
        <v>4.0472205341760721E-3</v>
      </c>
      <c r="J395" s="1">
        <f t="shared" ref="J395" si="235">SUM(J396:J398)</f>
        <v>0.67817976510745481</v>
      </c>
      <c r="K395" s="1">
        <f t="shared" ref="K395" si="236">SUM(K396:K398)</f>
        <v>0.62791086890746994</v>
      </c>
    </row>
    <row r="396" spans="1:11" x14ac:dyDescent="0.35">
      <c r="A396" s="5" t="s">
        <v>5</v>
      </c>
      <c r="B396" s="5" t="s">
        <v>6</v>
      </c>
      <c r="C396" s="5" t="s">
        <v>7</v>
      </c>
      <c r="D396" t="s">
        <v>144</v>
      </c>
      <c r="E396" t="str">
        <f t="shared" si="212"/>
        <v>PJ/yr.</v>
      </c>
      <c r="F396" s="1">
        <f>IFERROR(F168/SUM(F168,F207),0)*'[1]Electricity and CHPs_IN'!B$30</f>
        <v>0</v>
      </c>
      <c r="G396" s="1">
        <f>IFERROR(G168/SUM(G168,G207),0)*'[1]Electricity and CHPs_IN'!C$30</f>
        <v>0</v>
      </c>
      <c r="H396" s="1">
        <f>IFERROR(H168/SUM(H168,H207),0)*'[1]Electricity and CHPs_IN'!D$30</f>
        <v>0</v>
      </c>
      <c r="I396" s="1">
        <f>IFERROR(I168/SUM(I168,I207),0)*'[1]Electricity and CHPs_IN'!E$30</f>
        <v>0</v>
      </c>
      <c r="J396" s="1">
        <f>IFERROR(J168/SUM(J168,J207),0)*'[1]Electricity and CHPs_IN'!F$30</f>
        <v>0.17771173488786818</v>
      </c>
      <c r="K396" s="1">
        <f>IFERROR(K168/SUM(K168,K207),0)*'[1]Electricity and CHPs_IN'!G$30</f>
        <v>0.17398736366323897</v>
      </c>
    </row>
    <row r="397" spans="1:11" x14ac:dyDescent="0.35">
      <c r="A397" s="5" t="s">
        <v>5</v>
      </c>
      <c r="B397" s="5" t="s">
        <v>6</v>
      </c>
      <c r="C397" s="5" t="s">
        <v>7</v>
      </c>
      <c r="D397" t="s">
        <v>145</v>
      </c>
      <c r="E397" t="str">
        <f t="shared" si="212"/>
        <v>PJ/yr.</v>
      </c>
      <c r="F397" s="1">
        <f>IFERROR(F169/SUM(F169,F287),0)*'[1]Electricity and CHPs_IN'!B$46</f>
        <v>0</v>
      </c>
      <c r="G397" s="1">
        <f>IFERROR(G169/SUM(G169,G287),0)*'[1]Electricity and CHPs_IN'!C$46</f>
        <v>0</v>
      </c>
      <c r="H397" s="1">
        <f>IFERROR(H169/SUM(H169,H287),0)*'[1]Electricity and CHPs_IN'!D$46</f>
        <v>0</v>
      </c>
      <c r="I397" s="1">
        <f>IFERROR(I169/SUM(I169,I287),0)*'[1]Electricity and CHPs_IN'!E$46</f>
        <v>3.4399706770571019E-3</v>
      </c>
      <c r="J397" s="1">
        <f>IFERROR(J169/SUM(J169,J287),0)*'[1]Electricity and CHPs_IN'!F$46</f>
        <v>0.47016869794772703</v>
      </c>
      <c r="K397" s="1">
        <f>IFERROR(K169/SUM(K169,K287),0)*'[1]Electricity and CHPs_IN'!G$46</f>
        <v>0.43459369004288689</v>
      </c>
    </row>
    <row r="398" spans="1:11" x14ac:dyDescent="0.35">
      <c r="A398" s="5" t="s">
        <v>5</v>
      </c>
      <c r="B398" s="5" t="s">
        <v>6</v>
      </c>
      <c r="C398" s="5" t="s">
        <v>7</v>
      </c>
      <c r="D398" t="s">
        <v>237</v>
      </c>
      <c r="E398" t="str">
        <f t="shared" si="212"/>
        <v>PJ/yr.</v>
      </c>
      <c r="F398" s="1">
        <f>IFERROR(F170/SUM(F170,F288),0)*'[1]Electricity and CHPs_IN'!B$57</f>
        <v>0</v>
      </c>
      <c r="G398" s="1">
        <f>IFERROR(G170/SUM(G170,G288),0)*'[1]Electricity and CHPs_IN'!C$57</f>
        <v>0</v>
      </c>
      <c r="H398" s="1">
        <f>IFERROR(H170/SUM(H170,H288),0)*'[1]Electricity and CHPs_IN'!D$57</f>
        <v>0</v>
      </c>
      <c r="I398" s="1">
        <f>IFERROR(I170/SUM(I170,I288),0)*'[1]Electricity and CHPs_IN'!E$57</f>
        <v>6.0724985711897055E-4</v>
      </c>
      <c r="J398" s="1">
        <f>IFERROR(J170/SUM(J170,J288),0)*'[1]Electricity and CHPs_IN'!F$57</f>
        <v>3.0299332271859714E-2</v>
      </c>
      <c r="K398" s="1">
        <f>IFERROR(K170/SUM(K170,K288),0)*'[1]Electricity and CHPs_IN'!G$57</f>
        <v>1.9329815201344157E-2</v>
      </c>
    </row>
    <row r="399" spans="1:11" x14ac:dyDescent="0.35">
      <c r="A399" s="5" t="s">
        <v>5</v>
      </c>
      <c r="B399" s="5" t="s">
        <v>6</v>
      </c>
      <c r="C399" s="5" t="s">
        <v>7</v>
      </c>
      <c r="D399" t="s">
        <v>862</v>
      </c>
      <c r="E399" t="str">
        <f t="shared" si="212"/>
        <v>PJ/yr.</v>
      </c>
      <c r="F399" s="1">
        <f>SUM(F400:F406)</f>
        <v>0.14402436825482581</v>
      </c>
      <c r="G399" s="1">
        <f t="shared" ref="G399:K399" si="237">SUM(G400:G406)</f>
        <v>2.0321765754497772E-2</v>
      </c>
      <c r="H399" s="1">
        <f t="shared" si="237"/>
        <v>0.14384881988641207</v>
      </c>
      <c r="I399" s="1">
        <f t="shared" si="237"/>
        <v>0.1012808794821204</v>
      </c>
      <c r="J399" s="1">
        <f t="shared" si="237"/>
        <v>1.0695159438322859</v>
      </c>
      <c r="K399" s="1">
        <f t="shared" si="237"/>
        <v>4.3244419774573215</v>
      </c>
    </row>
    <row r="400" spans="1:11" x14ac:dyDescent="0.35">
      <c r="A400" s="5" t="s">
        <v>5</v>
      </c>
      <c r="B400" s="5" t="s">
        <v>6</v>
      </c>
      <c r="C400" s="5" t="s">
        <v>7</v>
      </c>
      <c r="D400" t="s">
        <v>146</v>
      </c>
      <c r="E400" t="str">
        <f t="shared" si="212"/>
        <v>PJ/yr.</v>
      </c>
      <c r="F400" s="1">
        <f>'[1]Electricity and CHPs_IN'!B63</f>
        <v>0.13506493272719383</v>
      </c>
      <c r="G400" s="1">
        <f>'[1]Electricity and CHPs_IN'!C63</f>
        <v>1.236334824046904E-2</v>
      </c>
      <c r="H400" s="1">
        <f>'[1]Electricity and CHPs_IN'!D63</f>
        <v>0.13500108172111264</v>
      </c>
      <c r="I400" s="1">
        <f>'[1]Electricity and CHPs_IN'!E63</f>
        <v>1.7617361413801661E-3</v>
      </c>
      <c r="J400" s="1">
        <f>'[1]Electricity and CHPs_IN'!F63</f>
        <v>0.13497599750949305</v>
      </c>
      <c r="K400" s="1">
        <f>'[1]Electricity and CHPs_IN'!G63</f>
        <v>0.13499382256419093</v>
      </c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147</v>
      </c>
      <c r="E401" t="str">
        <f t="shared" si="212"/>
        <v>PJ/yr.</v>
      </c>
      <c r="F401" s="1">
        <f>'[1]Electricity and CHPs_IN'!B64</f>
        <v>2.5194631684484583E-3</v>
      </c>
      <c r="G401" s="1">
        <f>'[1]Electricity and CHPs_IN'!C64</f>
        <v>2.0077959862613085E-3</v>
      </c>
      <c r="H401" s="1">
        <f>'[1]Electricity and CHPs_IN'!D64</f>
        <v>2.4960159373120321E-3</v>
      </c>
      <c r="I401" s="1">
        <f>'[1]Electricity and CHPs_IN'!E64</f>
        <v>2.203924026742154E-3</v>
      </c>
      <c r="J401" s="1">
        <f>'[1]Electricity and CHPs_IN'!F64</f>
        <v>0.51220599042219428</v>
      </c>
      <c r="K401" s="1">
        <f>'[1]Electricity and CHPs_IN'!G64</f>
        <v>3.325289164698265</v>
      </c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148</v>
      </c>
      <c r="E402" t="str">
        <f t="shared" si="212"/>
        <v>PJ/yr.</v>
      </c>
      <c r="F402" s="1">
        <f>'[1]Electricity and CHPs_IN'!B65</f>
        <v>2.1912815736712197E-3</v>
      </c>
      <c r="G402" s="1">
        <f>'[1]Electricity and CHPs_IN'!C65</f>
        <v>1.7594033438018113E-3</v>
      </c>
      <c r="H402" s="1">
        <f>'[1]Electricity and CHPs_IN'!D65</f>
        <v>2.1836378512190891E-3</v>
      </c>
      <c r="I402" s="1">
        <f>'[1]Electricity and CHPs_IN'!E65</f>
        <v>2.0208240240355254E-3</v>
      </c>
      <c r="J402" s="1">
        <f>'[1]Electricity and CHPs_IN'!F65</f>
        <v>1.113167379718529E-2</v>
      </c>
      <c r="K402" s="1">
        <f>'[1]Electricity and CHPs_IN'!G65</f>
        <v>0.11836416622212388</v>
      </c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149</v>
      </c>
      <c r="E403" t="str">
        <f t="shared" si="212"/>
        <v>PJ/yr.</v>
      </c>
      <c r="F403" s="1">
        <f>'[1]Electricity and CHPs_IN'!B66</f>
        <v>7.0443302633514757E-4</v>
      </c>
      <c r="G403" s="1">
        <f>'[1]Electricity and CHPs_IN'!C66</f>
        <v>6.9483537011000155E-4</v>
      </c>
      <c r="H403" s="1">
        <f>'[1]Electricity and CHPs_IN'!D66</f>
        <v>6.9081158952453124E-4</v>
      </c>
      <c r="I403" s="1">
        <f>'[1]Electricity and CHPs_IN'!E66</f>
        <v>4.2251019527757602E-2</v>
      </c>
      <c r="J403" s="1">
        <f>'[1]Electricity and CHPs_IN'!F66</f>
        <v>0.34419997675267305</v>
      </c>
      <c r="K403" s="1">
        <f>'[1]Electricity and CHPs_IN'!G66</f>
        <v>0.7048534961732168</v>
      </c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1854</v>
      </c>
      <c r="E404" t="str">
        <f t="shared" si="212"/>
        <v>PJ/yr.</v>
      </c>
      <c r="F404" s="1">
        <f>'[1]Electricity and CHPs_IN'!B67</f>
        <v>1.4182454332728384E-3</v>
      </c>
      <c r="G404" s="1">
        <f>'[1]Electricity and CHPs_IN'!C67</f>
        <v>1.3991186261503889E-3</v>
      </c>
      <c r="H404" s="1">
        <f>'[1]Electricity and CHPs_IN'!D67</f>
        <v>1.3916173851134127E-3</v>
      </c>
      <c r="I404" s="1">
        <f>'[1]Electricity and CHPs_IN'!E67</f>
        <v>1.96778282478717E-2</v>
      </c>
      <c r="J404" s="1">
        <f>'[1]Electricity and CHPs_IN'!F67</f>
        <v>2.4879073095809154E-2</v>
      </c>
      <c r="K404" s="1">
        <f>'[1]Electricity and CHPs_IN'!G67</f>
        <v>1.5319840269699479E-2</v>
      </c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150</v>
      </c>
      <c r="E405" t="str">
        <f t="shared" si="212"/>
        <v>PJ/yr.</v>
      </c>
      <c r="F405" s="1">
        <f>'[1]Electricity and CHPs_IN'!B68</f>
        <v>1.4185363537640985E-3</v>
      </c>
      <c r="G405" s="1">
        <f>'[1]Electricity and CHPs_IN'!C68</f>
        <v>1.3993866263216713E-3</v>
      </c>
      <c r="H405" s="1">
        <f>'[1]Electricity and CHPs_IN'!D68</f>
        <v>1.3917630753083883E-3</v>
      </c>
      <c r="I405" s="1">
        <f>'[1]Electricity and CHPs_IN'!E68</f>
        <v>1.9750777683850994E-2</v>
      </c>
      <c r="J405" s="1">
        <f>'[1]Electricity and CHPs_IN'!F68</f>
        <v>2.5557880863357533E-2</v>
      </c>
      <c r="K405" s="1">
        <f>'[1]Electricity and CHPs_IN'!G68</f>
        <v>1.542620480022017E-2</v>
      </c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151</v>
      </c>
      <c r="E406" t="str">
        <f t="shared" si="212"/>
        <v>PJ/yr.</v>
      </c>
      <c r="F406" s="1">
        <f>'[1]Electricity and CHPs_IN'!B69</f>
        <v>7.0747597214022449E-4</v>
      </c>
      <c r="G406" s="1">
        <f>'[1]Electricity and CHPs_IN'!C69</f>
        <v>6.9787756138355028E-4</v>
      </c>
      <c r="H406" s="1">
        <f>'[1]Electricity and CHPs_IN'!D69</f>
        <v>6.9389232682198678E-4</v>
      </c>
      <c r="I406" s="1">
        <f>'[1]Electricity and CHPs_IN'!E69</f>
        <v>1.3614769830482246E-2</v>
      </c>
      <c r="J406" s="1">
        <f>'[1]Electricity and CHPs_IN'!F69</f>
        <v>1.6565351391573484E-2</v>
      </c>
      <c r="K406" s="1">
        <f>'[1]Electricity and CHPs_IN'!G69</f>
        <v>1.0195282729604674E-2</v>
      </c>
    </row>
    <row r="407" spans="1:19" x14ac:dyDescent="0.35">
      <c r="A407" s="5"/>
      <c r="B407" s="9" t="str">
        <f t="shared" ref="B407:C407" si="238">B406</f>
        <v>SPS1</v>
      </c>
      <c r="C407" s="2" t="str">
        <f t="shared" si="238"/>
        <v>CH</v>
      </c>
      <c r="D407" s="2" t="s">
        <v>190</v>
      </c>
      <c r="E407" s="2" t="str">
        <f>E395</f>
        <v>PJ/yr.</v>
      </c>
      <c r="F407" s="3">
        <f>F408+F461</f>
        <v>55.805141911878771</v>
      </c>
      <c r="G407" s="3">
        <f t="shared" ref="G407:K407" si="239">G408+G461</f>
        <v>55.630417360660459</v>
      </c>
      <c r="H407" s="3">
        <f t="shared" si="239"/>
        <v>54.549504461580803</v>
      </c>
      <c r="I407" s="3">
        <f t="shared" si="239"/>
        <v>57.502342946850277</v>
      </c>
      <c r="J407" s="3">
        <f t="shared" si="239"/>
        <v>59.139465938332521</v>
      </c>
      <c r="K407" s="3">
        <f t="shared" si="239"/>
        <v>63.81406732575617</v>
      </c>
      <c r="M407" s="11"/>
      <c r="N407" s="11"/>
      <c r="O407" s="11"/>
      <c r="P407" s="11"/>
      <c r="Q407" s="11"/>
      <c r="R407" s="11"/>
      <c r="S407" s="11"/>
    </row>
    <row r="408" spans="1:19" x14ac:dyDescent="0.35">
      <c r="A408" s="5"/>
      <c r="B408" s="5" t="s">
        <v>6</v>
      </c>
      <c r="C408" s="5" t="s">
        <v>7</v>
      </c>
      <c r="D408" t="s">
        <v>863</v>
      </c>
      <c r="E408" t="str">
        <f>E396</f>
        <v>PJ/yr.</v>
      </c>
      <c r="F408" s="1">
        <f t="shared" ref="F408:K408" si="240">F409+F438</f>
        <v>47.904185945760858</v>
      </c>
      <c r="G408" s="1">
        <f t="shared" si="240"/>
        <v>46.815244889027689</v>
      </c>
      <c r="H408" s="1">
        <f t="shared" si="240"/>
        <v>44.288239619185241</v>
      </c>
      <c r="I408" s="1">
        <f t="shared" si="240"/>
        <v>45.668808540218691</v>
      </c>
      <c r="J408" s="1">
        <f t="shared" si="240"/>
        <v>44.615520283246362</v>
      </c>
      <c r="K408" s="1">
        <f t="shared" si="240"/>
        <v>41.601294308647617</v>
      </c>
      <c r="M408" s="11"/>
      <c r="N408" s="11"/>
      <c r="O408" s="11"/>
      <c r="P408" s="11"/>
      <c r="Q408" s="11"/>
      <c r="R408" s="11"/>
      <c r="S408" s="11"/>
    </row>
    <row r="409" spans="1:19" x14ac:dyDescent="0.35">
      <c r="A409" s="5"/>
      <c r="B409" s="5" t="s">
        <v>6</v>
      </c>
      <c r="C409" s="5" t="s">
        <v>7</v>
      </c>
      <c r="D409" t="s">
        <v>864</v>
      </c>
      <c r="E409" t="str">
        <f>E393</f>
        <v>PJ/yr.</v>
      </c>
      <c r="F409" s="1">
        <f>SUM(F410,F416,F425,F434,F436)</f>
        <v>39.934255335582158</v>
      </c>
      <c r="G409" s="1">
        <f t="shared" ref="G409:K409" si="241">SUM(G410,G416,G425,G434,G436)</f>
        <v>34.689328377515238</v>
      </c>
      <c r="H409" s="1">
        <f t="shared" si="241"/>
        <v>34.741558825538007</v>
      </c>
      <c r="I409" s="1">
        <f t="shared" si="241"/>
        <v>38.304303913788566</v>
      </c>
      <c r="J409" s="1">
        <f t="shared" si="241"/>
        <v>37.567814471252255</v>
      </c>
      <c r="K409" s="1">
        <f t="shared" si="241"/>
        <v>34.81789706823065</v>
      </c>
    </row>
    <row r="410" spans="1:19" x14ac:dyDescent="0.35">
      <c r="A410" s="5"/>
      <c r="B410" s="5" t="s">
        <v>6</v>
      </c>
      <c r="C410" s="5" t="s">
        <v>7</v>
      </c>
      <c r="D410" t="s">
        <v>865</v>
      </c>
      <c r="E410" t="s">
        <v>8</v>
      </c>
      <c r="F410" s="1">
        <f>F411</f>
        <v>1.6440130424030495E-2</v>
      </c>
      <c r="G410" s="1">
        <f t="shared" ref="G410:K410" si="242">G411</f>
        <v>4.6533440854240756E-4</v>
      </c>
      <c r="H410" s="1">
        <f t="shared" si="242"/>
        <v>4.9570445421360729E-3</v>
      </c>
      <c r="I410" s="1">
        <f t="shared" si="242"/>
        <v>1.3227185871044545E-3</v>
      </c>
      <c r="J410" s="1">
        <f t="shared" si="242"/>
        <v>3.4106240757450211E-3</v>
      </c>
      <c r="K410" s="1">
        <f t="shared" si="242"/>
        <v>8.9152297928823189E-5</v>
      </c>
    </row>
    <row r="411" spans="1:19" x14ac:dyDescent="0.35">
      <c r="A411" s="5"/>
      <c r="B411" s="5" t="s">
        <v>6</v>
      </c>
      <c r="C411" s="5" t="s">
        <v>7</v>
      </c>
      <c r="D411" t="s">
        <v>231</v>
      </c>
      <c r="E411" t="s">
        <v>8</v>
      </c>
      <c r="F411" s="1">
        <f>'[1]Electricity and CHPs_IN'!B$28-F298</f>
        <v>1.6440130424030495E-2</v>
      </c>
      <c r="G411" s="1">
        <f>'[1]Electricity and CHPs_IN'!C$28-G298</f>
        <v>4.6533440854240756E-4</v>
      </c>
      <c r="H411" s="1">
        <f>'[1]Electricity and CHPs_IN'!D$28-H298</f>
        <v>4.9570445421360729E-3</v>
      </c>
      <c r="I411" s="1">
        <f>'[1]Electricity and CHPs_IN'!E$28-I298</f>
        <v>1.3227185871044545E-3</v>
      </c>
      <c r="J411" s="1">
        <f>'[1]Electricity and CHPs_IN'!F$28-J298</f>
        <v>3.4106240757450211E-3</v>
      </c>
      <c r="K411" s="1">
        <f>'[1]Electricity and CHPs_IN'!G$28-K298</f>
        <v>8.9152297928823189E-5</v>
      </c>
    </row>
    <row r="412" spans="1:19" x14ac:dyDescent="0.35">
      <c r="A412" s="5"/>
      <c r="B412" s="5" t="s">
        <v>6</v>
      </c>
      <c r="C412" s="5" t="s">
        <v>7</v>
      </c>
      <c r="D412" t="s">
        <v>866</v>
      </c>
      <c r="E412" t="s">
        <v>8</v>
      </c>
      <c r="F412" s="1">
        <f>F413</f>
        <v>1.6440130424030495E-2</v>
      </c>
      <c r="G412" s="1">
        <f t="shared" ref="G412:K412" si="243">G413</f>
        <v>4.6533440854240756E-4</v>
      </c>
      <c r="H412" s="1">
        <f t="shared" si="243"/>
        <v>4.9570445421360729E-3</v>
      </c>
      <c r="I412" s="1">
        <f t="shared" si="243"/>
        <v>1.3227185871044545E-3</v>
      </c>
      <c r="J412" s="1">
        <f t="shared" si="243"/>
        <v>3.4106240757450211E-3</v>
      </c>
      <c r="K412" s="1">
        <f t="shared" si="243"/>
        <v>8.9152297928823189E-5</v>
      </c>
    </row>
    <row r="413" spans="1:19" x14ac:dyDescent="0.35">
      <c r="A413" s="5"/>
      <c r="B413" s="5" t="s">
        <v>6</v>
      </c>
      <c r="C413" s="5" t="s">
        <v>7</v>
      </c>
      <c r="D413" t="s">
        <v>523</v>
      </c>
      <c r="E413" t="s">
        <v>8</v>
      </c>
      <c r="F413" s="1">
        <f>F411-F415</f>
        <v>1.6440130424030495E-2</v>
      </c>
      <c r="G413" s="1">
        <f t="shared" ref="G413:K413" si="244">G411-G415</f>
        <v>4.6533440854240756E-4</v>
      </c>
      <c r="H413" s="1">
        <f t="shared" si="244"/>
        <v>4.9570445421360729E-3</v>
      </c>
      <c r="I413" s="1">
        <f t="shared" si="244"/>
        <v>1.3227185871044545E-3</v>
      </c>
      <c r="J413" s="1">
        <f t="shared" si="244"/>
        <v>3.4106240757450211E-3</v>
      </c>
      <c r="K413" s="1">
        <f t="shared" si="244"/>
        <v>8.9152297928823189E-5</v>
      </c>
    </row>
    <row r="414" spans="1:19" x14ac:dyDescent="0.35">
      <c r="A414" s="5"/>
      <c r="B414" s="5" t="s">
        <v>6</v>
      </c>
      <c r="C414" s="5" t="s">
        <v>7</v>
      </c>
      <c r="D414" t="s">
        <v>867</v>
      </c>
      <c r="E414" t="s">
        <v>8</v>
      </c>
      <c r="F414" s="1">
        <f>F415</f>
        <v>0</v>
      </c>
      <c r="G414" s="1">
        <f t="shared" ref="G414:K414" si="245">G415</f>
        <v>0</v>
      </c>
      <c r="H414" s="1">
        <f t="shared" si="245"/>
        <v>0</v>
      </c>
      <c r="I414" s="1">
        <f t="shared" si="245"/>
        <v>0</v>
      </c>
      <c r="J414" s="1">
        <f t="shared" si="245"/>
        <v>0</v>
      </c>
      <c r="K414" s="1">
        <f t="shared" si="245"/>
        <v>0</v>
      </c>
    </row>
    <row r="415" spans="1:19" x14ac:dyDescent="0.35">
      <c r="A415" s="5"/>
      <c r="B415" s="5" t="s">
        <v>6</v>
      </c>
      <c r="C415" s="5" t="s">
        <v>7</v>
      </c>
      <c r="D415" t="s">
        <v>547</v>
      </c>
      <c r="E415" t="s">
        <v>8</v>
      </c>
      <c r="F415" s="1">
        <f>IFERROR(F306/F298,0)*F411</f>
        <v>0</v>
      </c>
      <c r="G415" s="1">
        <f t="shared" ref="G415:K415" si="246">IFERROR(G306/G298,0)*G411</f>
        <v>0</v>
      </c>
      <c r="H415" s="1">
        <f t="shared" si="246"/>
        <v>0</v>
      </c>
      <c r="I415" s="1">
        <f t="shared" si="246"/>
        <v>0</v>
      </c>
      <c r="J415" s="1">
        <f t="shared" si="246"/>
        <v>0</v>
      </c>
      <c r="K415" s="1">
        <f t="shared" si="246"/>
        <v>0</v>
      </c>
    </row>
    <row r="416" spans="1:19" x14ac:dyDescent="0.35">
      <c r="A416" s="5"/>
      <c r="B416" s="5" t="s">
        <v>6</v>
      </c>
      <c r="C416" s="5" t="s">
        <v>7</v>
      </c>
      <c r="D416" t="s">
        <v>868</v>
      </c>
      <c r="E416" t="s">
        <v>8</v>
      </c>
      <c r="F416" s="1">
        <f>SUM(F417:F418)</f>
        <v>2.3924652277262402</v>
      </c>
      <c r="G416" s="1">
        <f t="shared" ref="G416:K416" si="247">SUM(G417:G418)</f>
        <v>4.3880522595154687E-4</v>
      </c>
      <c r="H416" s="1">
        <f t="shared" si="247"/>
        <v>2.0776468360883486E-3</v>
      </c>
      <c r="I416" s="1">
        <f t="shared" si="247"/>
        <v>0</v>
      </c>
      <c r="J416" s="1">
        <f t="shared" si="247"/>
        <v>0</v>
      </c>
      <c r="K416" s="1">
        <f t="shared" si="247"/>
        <v>0</v>
      </c>
    </row>
    <row r="417" spans="1:11" x14ac:dyDescent="0.35">
      <c r="A417" s="5"/>
      <c r="B417" s="5" t="s">
        <v>6</v>
      </c>
      <c r="C417" s="5" t="s">
        <v>7</v>
      </c>
      <c r="D417" t="s">
        <v>191</v>
      </c>
      <c r="E417" t="s">
        <v>8</v>
      </c>
      <c r="F417" s="1">
        <f>'[1]Electricity and CHPs_IN'!B$24-F312</f>
        <v>2.3924652277262402</v>
      </c>
      <c r="G417" s="1">
        <f>'[1]Electricity and CHPs_IN'!C$24-G312</f>
        <v>4.3880522595154687E-4</v>
      </c>
      <c r="H417" s="1">
        <f>'[1]Electricity and CHPs_IN'!D$24-H312</f>
        <v>2.0776468360883486E-3</v>
      </c>
      <c r="I417" s="1">
        <f>'[1]Electricity and CHPs_IN'!E$24-I312</f>
        <v>0</v>
      </c>
      <c r="J417" s="1">
        <f>'[1]Electricity and CHPs_IN'!F$24-J312</f>
        <v>0</v>
      </c>
      <c r="K417" s="1">
        <f>'[1]Electricity and CHPs_IN'!G$24-K312</f>
        <v>0</v>
      </c>
    </row>
    <row r="418" spans="1:11" x14ac:dyDescent="0.35">
      <c r="A418" s="5"/>
      <c r="B418" s="5" t="s">
        <v>6</v>
      </c>
      <c r="C418" s="5" t="s">
        <v>7</v>
      </c>
      <c r="D418" t="s">
        <v>192</v>
      </c>
      <c r="E418" t="s">
        <v>8</v>
      </c>
      <c r="F418" s="1">
        <f>'[1]Electricity and CHPs_IN'!B$29-F313</f>
        <v>0</v>
      </c>
      <c r="G418" s="1">
        <f>'[1]Electricity and CHPs_IN'!C$29-G313</f>
        <v>0</v>
      </c>
      <c r="H418" s="1">
        <f>'[1]Electricity and CHPs_IN'!D$29-H313</f>
        <v>0</v>
      </c>
      <c r="I418" s="1">
        <f>'[1]Electricity and CHPs_IN'!E$29-I313</f>
        <v>0</v>
      </c>
      <c r="J418" s="1">
        <f>'[1]Electricity and CHPs_IN'!F$29-J313</f>
        <v>0</v>
      </c>
      <c r="K418" s="1">
        <f>'[1]Electricity and CHPs_IN'!G$29-K313</f>
        <v>0</v>
      </c>
    </row>
    <row r="419" spans="1:11" x14ac:dyDescent="0.35">
      <c r="A419" s="5"/>
      <c r="B419" s="5" t="s">
        <v>6</v>
      </c>
      <c r="C419" s="5" t="s">
        <v>7</v>
      </c>
      <c r="D419" t="s">
        <v>869</v>
      </c>
      <c r="E419" t="s">
        <v>8</v>
      </c>
      <c r="F419" s="1">
        <f>SUM(F420:F421)</f>
        <v>2.3321291091388954</v>
      </c>
      <c r="G419" s="1">
        <f t="shared" ref="G419:K419" si="248">SUM(G420:G421)</f>
        <v>4.291492719814322E-4</v>
      </c>
      <c r="H419" s="1">
        <f t="shared" si="248"/>
        <v>1.984156020564583E-3</v>
      </c>
      <c r="I419" s="1">
        <f t="shared" si="248"/>
        <v>0</v>
      </c>
      <c r="J419" s="1">
        <f t="shared" si="248"/>
        <v>0</v>
      </c>
      <c r="K419" s="1">
        <f t="shared" si="248"/>
        <v>0</v>
      </c>
    </row>
    <row r="420" spans="1:11" x14ac:dyDescent="0.35">
      <c r="A420" s="5"/>
      <c r="B420" s="5" t="s">
        <v>6</v>
      </c>
      <c r="C420" s="5" t="s">
        <v>7</v>
      </c>
      <c r="D420" t="s">
        <v>594</v>
      </c>
      <c r="E420" t="s">
        <v>8</v>
      </c>
      <c r="F420" s="1">
        <f>F417-F423</f>
        <v>2.3321291091388954</v>
      </c>
      <c r="G420" s="1">
        <f t="shared" ref="G420:K420" si="249">G417-G423</f>
        <v>4.291492719814322E-4</v>
      </c>
      <c r="H420" s="1">
        <f t="shared" si="249"/>
        <v>1.984156020564583E-3</v>
      </c>
      <c r="I420" s="1">
        <f t="shared" si="249"/>
        <v>0</v>
      </c>
      <c r="J420" s="1">
        <f t="shared" si="249"/>
        <v>0</v>
      </c>
      <c r="K420" s="1">
        <f t="shared" si="249"/>
        <v>0</v>
      </c>
    </row>
    <row r="421" spans="1:11" x14ac:dyDescent="0.35">
      <c r="A421" s="5"/>
      <c r="B421" s="5" t="s">
        <v>6</v>
      </c>
      <c r="C421" s="5" t="s">
        <v>7</v>
      </c>
      <c r="D421" t="s">
        <v>595</v>
      </c>
      <c r="E421" t="s">
        <v>8</v>
      </c>
      <c r="F421" s="1">
        <f>F418-F424</f>
        <v>0</v>
      </c>
      <c r="G421" s="1">
        <f t="shared" ref="G421:K421" si="250">G418-G424</f>
        <v>0</v>
      </c>
      <c r="H421" s="1">
        <f t="shared" si="250"/>
        <v>0</v>
      </c>
      <c r="I421" s="1">
        <f t="shared" si="250"/>
        <v>0</v>
      </c>
      <c r="J421" s="1">
        <f t="shared" si="250"/>
        <v>0</v>
      </c>
      <c r="K421" s="1">
        <f t="shared" si="250"/>
        <v>0</v>
      </c>
    </row>
    <row r="422" spans="1:11" x14ac:dyDescent="0.35">
      <c r="A422" s="5"/>
      <c r="B422" s="5" t="s">
        <v>6</v>
      </c>
      <c r="C422" s="5" t="s">
        <v>7</v>
      </c>
      <c r="D422" t="s">
        <v>870</v>
      </c>
      <c r="E422" t="s">
        <v>8</v>
      </c>
      <c r="F422" s="1">
        <f>SUM(F423:F424)</f>
        <v>6.0336118587344841E-2</v>
      </c>
      <c r="G422" s="1">
        <f t="shared" ref="G422:K422" si="251">SUM(G423:G424)</f>
        <v>9.6559539701146443E-6</v>
      </c>
      <c r="H422" s="1">
        <f t="shared" si="251"/>
        <v>9.3490815523765693E-5</v>
      </c>
      <c r="I422" s="1">
        <f t="shared" si="251"/>
        <v>0</v>
      </c>
      <c r="J422" s="1">
        <f t="shared" si="251"/>
        <v>0</v>
      </c>
      <c r="K422" s="1">
        <f t="shared" si="251"/>
        <v>0</v>
      </c>
    </row>
    <row r="423" spans="1:11" x14ac:dyDescent="0.35">
      <c r="A423" s="5"/>
      <c r="B423" s="5" t="s">
        <v>6</v>
      </c>
      <c r="C423" s="5" t="s">
        <v>7</v>
      </c>
      <c r="D423" t="s">
        <v>655</v>
      </c>
      <c r="E423" t="s">
        <v>8</v>
      </c>
      <c r="F423" s="1">
        <f>IFERROR(F344/F312,0)*F417</f>
        <v>6.0336118587344841E-2</v>
      </c>
      <c r="G423" s="1">
        <f t="shared" ref="G423:K423" si="252">IFERROR(G344/G312,0)*G417</f>
        <v>9.6559539701146443E-6</v>
      </c>
      <c r="H423" s="1">
        <f t="shared" si="252"/>
        <v>9.3490815523765693E-5</v>
      </c>
      <c r="I423" s="1">
        <f t="shared" si="252"/>
        <v>0</v>
      </c>
      <c r="J423" s="1">
        <f t="shared" si="252"/>
        <v>0</v>
      </c>
      <c r="K423" s="1">
        <f t="shared" si="252"/>
        <v>0</v>
      </c>
    </row>
    <row r="424" spans="1:11" x14ac:dyDescent="0.35">
      <c r="A424" s="5"/>
      <c r="B424" s="5" t="s">
        <v>6</v>
      </c>
      <c r="C424" s="5" t="s">
        <v>7</v>
      </c>
      <c r="D424" t="s">
        <v>656</v>
      </c>
      <c r="E424" t="s">
        <v>8</v>
      </c>
      <c r="F424" s="1">
        <f>IFERROR(F345/F313,0)*F418</f>
        <v>0</v>
      </c>
      <c r="G424" s="1">
        <f t="shared" ref="G424:K424" si="253">IFERROR(G345/G313,0)*G418</f>
        <v>0</v>
      </c>
      <c r="H424" s="1">
        <f t="shared" si="253"/>
        <v>0</v>
      </c>
      <c r="I424" s="1">
        <f t="shared" si="253"/>
        <v>0</v>
      </c>
      <c r="J424" s="1">
        <f t="shared" si="253"/>
        <v>0</v>
      </c>
      <c r="K424" s="1">
        <f t="shared" si="253"/>
        <v>0</v>
      </c>
    </row>
    <row r="425" spans="1:11" x14ac:dyDescent="0.35">
      <c r="A425" s="5"/>
      <c r="B425" s="5" t="s">
        <v>6</v>
      </c>
      <c r="C425" s="5" t="s">
        <v>7</v>
      </c>
      <c r="D425" t="s">
        <v>871</v>
      </c>
      <c r="E425" t="s">
        <v>8</v>
      </c>
      <c r="F425" s="1">
        <f>SUM(F426:F427)</f>
        <v>36.420454144232735</v>
      </c>
      <c r="G425" s="1">
        <f t="shared" ref="G425:K425" si="254">SUM(G426:G427)</f>
        <v>34.687799533748731</v>
      </c>
      <c r="H425" s="1">
        <f t="shared" si="254"/>
        <v>34.73322734602408</v>
      </c>
      <c r="I425" s="1">
        <f t="shared" si="254"/>
        <v>35.481260420158016</v>
      </c>
      <c r="J425" s="1">
        <f t="shared" si="254"/>
        <v>34.18448449449599</v>
      </c>
      <c r="K425" s="1">
        <f t="shared" si="254"/>
        <v>30.92738269621811</v>
      </c>
    </row>
    <row r="426" spans="1:11" x14ac:dyDescent="0.35">
      <c r="A426" s="5"/>
      <c r="B426" s="5" t="s">
        <v>6</v>
      </c>
      <c r="C426" s="5" t="s">
        <v>7</v>
      </c>
      <c r="D426" t="s">
        <v>193</v>
      </c>
      <c r="E426" t="s">
        <v>8</v>
      </c>
      <c r="F426" s="1">
        <f>'[1]Electricity and CHPs_IN'!B$26-F359</f>
        <v>36.420454144232735</v>
      </c>
      <c r="G426" s="1">
        <f>'[1]Electricity and CHPs_IN'!C$26-G359</f>
        <v>34.687799533748731</v>
      </c>
      <c r="H426" s="1">
        <f>'[1]Electricity and CHPs_IN'!D$26-H359</f>
        <v>34.73322734602408</v>
      </c>
      <c r="I426" s="1">
        <f>'[1]Electricity and CHPs_IN'!E$26-I359</f>
        <v>35.481260420158016</v>
      </c>
      <c r="J426" s="1">
        <f>'[1]Electricity and CHPs_IN'!F$26-J359</f>
        <v>26.123266652049129</v>
      </c>
      <c r="K426" s="1">
        <f>'[1]Electricity and CHPs_IN'!G$26-K359</f>
        <v>18.965122088027925</v>
      </c>
    </row>
    <row r="427" spans="1:11" x14ac:dyDescent="0.35">
      <c r="A427" s="5"/>
      <c r="B427" s="5" t="s">
        <v>6</v>
      </c>
      <c r="C427" s="5" t="s">
        <v>7</v>
      </c>
      <c r="D427" t="s">
        <v>194</v>
      </c>
      <c r="E427" t="s">
        <v>8</v>
      </c>
      <c r="F427" s="1">
        <f>'[1]Electricity and CHPs_IN'!B$27-F360</f>
        <v>0</v>
      </c>
      <c r="G427" s="1">
        <f>'[1]Electricity and CHPs_IN'!C$27-G360</f>
        <v>0</v>
      </c>
      <c r="H427" s="1">
        <f>'[1]Electricity and CHPs_IN'!D$27-H360</f>
        <v>0</v>
      </c>
      <c r="I427" s="1">
        <f>'[1]Electricity and CHPs_IN'!E$27-I360</f>
        <v>0</v>
      </c>
      <c r="J427" s="1">
        <f>'[1]Electricity and CHPs_IN'!F$27-J360</f>
        <v>8.0612178424468635</v>
      </c>
      <c r="K427" s="1">
        <f>'[1]Electricity and CHPs_IN'!G$27-K360</f>
        <v>11.962260608190185</v>
      </c>
    </row>
    <row r="428" spans="1:11" x14ac:dyDescent="0.35">
      <c r="A428" s="5"/>
      <c r="B428" s="5" t="s">
        <v>6</v>
      </c>
      <c r="C428" s="5" t="s">
        <v>7</v>
      </c>
      <c r="D428" t="s">
        <v>872</v>
      </c>
      <c r="E428" t="s">
        <v>8</v>
      </c>
      <c r="F428" s="1">
        <f>SUM(F429:F430)</f>
        <v>18.210227072116364</v>
      </c>
      <c r="G428" s="1">
        <f t="shared" ref="G428:K428" si="255">SUM(G429:G430)</f>
        <v>17.343899766874365</v>
      </c>
      <c r="H428" s="1">
        <f t="shared" si="255"/>
        <v>17.36661367301204</v>
      </c>
      <c r="I428" s="1">
        <f t="shared" si="255"/>
        <v>17.740630210079011</v>
      </c>
      <c r="J428" s="1">
        <f t="shared" si="255"/>
        <v>17.092242247247995</v>
      </c>
      <c r="K428" s="1">
        <f t="shared" si="255"/>
        <v>15.463691348109055</v>
      </c>
    </row>
    <row r="429" spans="1:11" x14ac:dyDescent="0.35">
      <c r="A429" s="5"/>
      <c r="B429" s="5" t="s">
        <v>6</v>
      </c>
      <c r="C429" s="5" t="s">
        <v>7</v>
      </c>
      <c r="D429" t="s">
        <v>195</v>
      </c>
      <c r="E429" t="s">
        <v>8</v>
      </c>
      <c r="F429" s="1">
        <f>IFERROR(F366/F359,0)*F426</f>
        <v>18.210227072116364</v>
      </c>
      <c r="G429" s="1">
        <f t="shared" ref="G429:K429" si="256">IFERROR(G366/G359,0)*G426</f>
        <v>17.343899766874365</v>
      </c>
      <c r="H429" s="1">
        <f t="shared" si="256"/>
        <v>17.36661367301204</v>
      </c>
      <c r="I429" s="1">
        <f t="shared" si="256"/>
        <v>17.740630210079011</v>
      </c>
      <c r="J429" s="1">
        <f t="shared" si="256"/>
        <v>13.061633326024564</v>
      </c>
      <c r="K429" s="1">
        <f t="shared" si="256"/>
        <v>9.4825610440139627</v>
      </c>
    </row>
    <row r="430" spans="1:11" x14ac:dyDescent="0.35">
      <c r="A430" s="5"/>
      <c r="B430" s="5" t="s">
        <v>6</v>
      </c>
      <c r="C430" s="5" t="s">
        <v>7</v>
      </c>
      <c r="D430" t="s">
        <v>196</v>
      </c>
      <c r="E430" t="s">
        <v>8</v>
      </c>
      <c r="F430" s="1">
        <f>IFERROR(F367/F360,0)*F427</f>
        <v>0</v>
      </c>
      <c r="G430" s="1">
        <f t="shared" ref="G430:K430" si="257">IFERROR(G367/G360,0)*G427</f>
        <v>0</v>
      </c>
      <c r="H430" s="1">
        <f t="shared" si="257"/>
        <v>0</v>
      </c>
      <c r="I430" s="1">
        <f t="shared" si="257"/>
        <v>0</v>
      </c>
      <c r="J430" s="1">
        <f t="shared" si="257"/>
        <v>4.0306089212234317</v>
      </c>
      <c r="K430" s="1">
        <f t="shared" si="257"/>
        <v>5.9811303040950925</v>
      </c>
    </row>
    <row r="431" spans="1:11" x14ac:dyDescent="0.35">
      <c r="A431" s="5"/>
      <c r="B431" s="5" t="s">
        <v>6</v>
      </c>
      <c r="C431" s="5" t="s">
        <v>7</v>
      </c>
      <c r="D431" t="s">
        <v>873</v>
      </c>
      <c r="E431" t="s">
        <v>8</v>
      </c>
      <c r="F431" s="1">
        <f>SUM(F432:F433)</f>
        <v>18.210227072116371</v>
      </c>
      <c r="G431" s="1">
        <f t="shared" ref="G431:K431" si="258">SUM(G432:G433)</f>
        <v>17.343899766874365</v>
      </c>
      <c r="H431" s="1">
        <f t="shared" si="258"/>
        <v>17.36661367301204</v>
      </c>
      <c r="I431" s="1">
        <f t="shared" si="258"/>
        <v>17.740630210079004</v>
      </c>
      <c r="J431" s="1">
        <f t="shared" si="258"/>
        <v>17.092242247247995</v>
      </c>
      <c r="K431" s="1">
        <f t="shared" si="258"/>
        <v>15.463691348109055</v>
      </c>
    </row>
    <row r="432" spans="1:11" x14ac:dyDescent="0.35">
      <c r="A432" s="5"/>
      <c r="B432" s="5" t="s">
        <v>6</v>
      </c>
      <c r="C432" s="5" t="s">
        <v>7</v>
      </c>
      <c r="D432" t="s">
        <v>197</v>
      </c>
      <c r="E432" t="s">
        <v>8</v>
      </c>
      <c r="F432" s="1">
        <f>F426-F429</f>
        <v>18.210227072116371</v>
      </c>
      <c r="G432" s="1">
        <f t="shared" ref="G432:K432" si="259">G426-G429</f>
        <v>17.343899766874365</v>
      </c>
      <c r="H432" s="1">
        <f t="shared" si="259"/>
        <v>17.36661367301204</v>
      </c>
      <c r="I432" s="1">
        <f t="shared" si="259"/>
        <v>17.740630210079004</v>
      </c>
      <c r="J432" s="1">
        <f t="shared" si="259"/>
        <v>13.061633326024564</v>
      </c>
      <c r="K432" s="1">
        <f t="shared" si="259"/>
        <v>9.4825610440139627</v>
      </c>
    </row>
    <row r="433" spans="1:11" x14ac:dyDescent="0.35">
      <c r="A433" s="5"/>
      <c r="B433" s="5" t="s">
        <v>6</v>
      </c>
      <c r="C433" s="5" t="s">
        <v>7</v>
      </c>
      <c r="D433" t="s">
        <v>198</v>
      </c>
      <c r="E433" t="s">
        <v>8</v>
      </c>
      <c r="F433" s="1">
        <f>F427-F430</f>
        <v>0</v>
      </c>
      <c r="G433" s="1">
        <f t="shared" ref="G433:K433" si="260">G427-G430</f>
        <v>0</v>
      </c>
      <c r="H433" s="1">
        <f t="shared" si="260"/>
        <v>0</v>
      </c>
      <c r="I433" s="1">
        <f t="shared" si="260"/>
        <v>0</v>
      </c>
      <c r="J433" s="1">
        <f t="shared" si="260"/>
        <v>4.0306089212234317</v>
      </c>
      <c r="K433" s="1">
        <f t="shared" si="260"/>
        <v>5.9811303040950925</v>
      </c>
    </row>
    <row r="434" spans="1:11" x14ac:dyDescent="0.35">
      <c r="A434" s="5"/>
      <c r="B434" s="5" t="s">
        <v>6</v>
      </c>
      <c r="C434" s="5" t="s">
        <v>7</v>
      </c>
      <c r="D434" t="s">
        <v>874</v>
      </c>
      <c r="E434" t="s">
        <v>8</v>
      </c>
      <c r="F434" s="1">
        <f>F435</f>
        <v>1.1048958331991545</v>
      </c>
      <c r="G434" s="1">
        <f t="shared" ref="G434:K434" si="261">G435</f>
        <v>6.2470413201247172E-4</v>
      </c>
      <c r="H434" s="1">
        <f t="shared" si="261"/>
        <v>1.2967881357050196E-3</v>
      </c>
      <c r="I434" s="1">
        <f t="shared" si="261"/>
        <v>2.8217207750434463</v>
      </c>
      <c r="J434" s="1">
        <f t="shared" si="261"/>
        <v>3.1641265317452474</v>
      </c>
      <c r="K434" s="1">
        <f t="shared" si="261"/>
        <v>3.6708697369967158</v>
      </c>
    </row>
    <row r="435" spans="1:11" x14ac:dyDescent="0.35">
      <c r="A435" s="5"/>
      <c r="B435" s="5" t="s">
        <v>6</v>
      </c>
      <c r="C435" s="5" t="s">
        <v>7</v>
      </c>
      <c r="D435" t="s">
        <v>199</v>
      </c>
      <c r="E435" t="s">
        <v>8</v>
      </c>
      <c r="F435" s="1">
        <f>'[1]Electricity and CHPs_IN'!B$25-F378</f>
        <v>1.1048958331991545</v>
      </c>
      <c r="G435" s="1">
        <f>'[1]Electricity and CHPs_IN'!C$25-G378</f>
        <v>6.2470413201247172E-4</v>
      </c>
      <c r="H435" s="1">
        <f>'[1]Electricity and CHPs_IN'!D$25-H378</f>
        <v>1.2967881357050196E-3</v>
      </c>
      <c r="I435" s="1">
        <f>'[1]Electricity and CHPs_IN'!E$25-I378</f>
        <v>2.8217207750434463</v>
      </c>
      <c r="J435" s="1">
        <f>'[1]Electricity and CHPs_IN'!F$25-J378</f>
        <v>3.1641265317452474</v>
      </c>
      <c r="K435" s="1">
        <f>'[1]Electricity and CHPs_IN'!G$25-K378</f>
        <v>3.6708697369967158</v>
      </c>
    </row>
    <row r="436" spans="1:11" x14ac:dyDescent="0.35">
      <c r="A436" s="5"/>
      <c r="B436" s="5" t="s">
        <v>6</v>
      </c>
      <c r="C436" s="5" t="s">
        <v>7</v>
      </c>
      <c r="D436" t="s">
        <v>875</v>
      </c>
      <c r="E436" t="s">
        <v>8</v>
      </c>
      <c r="F436" s="1">
        <f>+F437</f>
        <v>0</v>
      </c>
      <c r="G436" s="1">
        <f t="shared" ref="G436:K436" si="262">+G437</f>
        <v>0</v>
      </c>
      <c r="H436" s="1">
        <f t="shared" si="262"/>
        <v>0</v>
      </c>
      <c r="I436" s="1">
        <f t="shared" si="262"/>
        <v>0</v>
      </c>
      <c r="J436" s="1">
        <f t="shared" si="262"/>
        <v>0.21579282093526791</v>
      </c>
      <c r="K436" s="1">
        <f t="shared" si="262"/>
        <v>0.21955548271789649</v>
      </c>
    </row>
    <row r="437" spans="1:11" x14ac:dyDescent="0.35">
      <c r="A437" s="5"/>
      <c r="B437" s="5" t="s">
        <v>6</v>
      </c>
      <c r="C437" s="5" t="s">
        <v>7</v>
      </c>
      <c r="D437" t="s">
        <v>200</v>
      </c>
      <c r="E437" t="s">
        <v>8</v>
      </c>
      <c r="F437" s="1">
        <f>'[1]Electricity and CHPs_IN'!B$30-F396</f>
        <v>0</v>
      </c>
      <c r="G437" s="1">
        <f>'[1]Electricity and CHPs_IN'!C$30-G396</f>
        <v>0</v>
      </c>
      <c r="H437" s="1">
        <f>'[1]Electricity and CHPs_IN'!D$30-H396</f>
        <v>0</v>
      </c>
      <c r="I437" s="1">
        <f>'[1]Electricity and CHPs_IN'!E$30-I396</f>
        <v>0</v>
      </c>
      <c r="J437" s="1">
        <f>'[1]Electricity and CHPs_IN'!F$30-J396</f>
        <v>0.21579282093526791</v>
      </c>
      <c r="K437" s="1">
        <f>'[1]Electricity and CHPs_IN'!G$30-K396</f>
        <v>0.21955548271789649</v>
      </c>
    </row>
    <row r="438" spans="1:11" x14ac:dyDescent="0.35">
      <c r="A438" s="5"/>
      <c r="B438" s="5" t="s">
        <v>6</v>
      </c>
      <c r="C438" s="5" t="s">
        <v>7</v>
      </c>
      <c r="D438" t="s">
        <v>876</v>
      </c>
      <c r="E438" t="str">
        <f>E393</f>
        <v>PJ/yr.</v>
      </c>
      <c r="F438" s="1">
        <f>SUM(F439,F445,F447,F453,F455,F457,F459)</f>
        <v>7.9699306101786993</v>
      </c>
      <c r="G438" s="1">
        <f t="shared" ref="G438:K438" si="263">SUM(G439,G445,G447,G453,G455,G457,G459)</f>
        <v>12.125916511512452</v>
      </c>
      <c r="H438" s="1">
        <f t="shared" si="263"/>
        <v>9.5466807936472353</v>
      </c>
      <c r="I438" s="1">
        <f t="shared" si="263"/>
        <v>7.3645046264301222</v>
      </c>
      <c r="J438" s="1">
        <f t="shared" si="263"/>
        <v>7.0477058119941063</v>
      </c>
      <c r="K438" s="1">
        <f t="shared" si="263"/>
        <v>6.783397240416968</v>
      </c>
    </row>
    <row r="439" spans="1:11" x14ac:dyDescent="0.35">
      <c r="A439" s="5"/>
      <c r="B439" s="5" t="s">
        <v>6</v>
      </c>
      <c r="C439" s="5" t="s">
        <v>7</v>
      </c>
      <c r="D439" t="s">
        <v>877</v>
      </c>
      <c r="E439" t="str">
        <f>E396</f>
        <v>PJ/yr.</v>
      </c>
      <c r="F439" s="1">
        <f>+F440</f>
        <v>4.3960331281688703</v>
      </c>
      <c r="G439" s="1">
        <f t="shared" ref="G439:K439" si="264">+G440</f>
        <v>5.1785357411503687</v>
      </c>
      <c r="H439" s="1">
        <f t="shared" si="264"/>
        <v>2.9641970380996518</v>
      </c>
      <c r="I439" s="1">
        <f t="shared" si="264"/>
        <v>2.3679067086506755</v>
      </c>
      <c r="J439" s="1">
        <f t="shared" si="264"/>
        <v>2.5989727730496521</v>
      </c>
      <c r="K439" s="1">
        <f t="shared" si="264"/>
        <v>2.5989507144762829</v>
      </c>
    </row>
    <row r="440" spans="1:11" x14ac:dyDescent="0.35">
      <c r="A440" s="5"/>
      <c r="B440" s="5" t="s">
        <v>6</v>
      </c>
      <c r="C440" s="5" t="s">
        <v>7</v>
      </c>
      <c r="D440" t="s">
        <v>201</v>
      </c>
      <c r="E440" t="str">
        <f>E397</f>
        <v>PJ/yr.</v>
      </c>
      <c r="F440" s="1">
        <f>SUM(F442:F444)</f>
        <v>4.3960331281688703</v>
      </c>
      <c r="G440" s="1">
        <f t="shared" ref="G440:K440" si="265">SUM(G442:G444)</f>
        <v>5.1785357411503687</v>
      </c>
      <c r="H440" s="1">
        <f t="shared" si="265"/>
        <v>2.9641970380996518</v>
      </c>
      <c r="I440" s="1">
        <f t="shared" si="265"/>
        <v>2.3679067086506755</v>
      </c>
      <c r="J440" s="1">
        <f t="shared" si="265"/>
        <v>2.5989727730496521</v>
      </c>
      <c r="K440" s="1">
        <f t="shared" si="265"/>
        <v>2.5989507144762829</v>
      </c>
    </row>
    <row r="441" spans="1:11" x14ac:dyDescent="0.35">
      <c r="A441" s="5"/>
      <c r="B441" s="5" t="s">
        <v>6</v>
      </c>
      <c r="C441" s="5" t="s">
        <v>7</v>
      </c>
      <c r="D441" t="s">
        <v>878</v>
      </c>
      <c r="E441" t="str">
        <f>E396</f>
        <v>PJ/yr.</v>
      </c>
      <c r="F441" s="1">
        <f>F442</f>
        <v>2.0280875359028041</v>
      </c>
      <c r="G441" s="1">
        <f t="shared" ref="G441:K441" si="266">G442</f>
        <v>2.8106321016643734</v>
      </c>
      <c r="H441" s="1">
        <f t="shared" si="266"/>
        <v>0.59629161243257855</v>
      </c>
      <c r="I441" s="1">
        <f t="shared" si="266"/>
        <v>0</v>
      </c>
      <c r="J441" s="1">
        <f t="shared" si="266"/>
        <v>0</v>
      </c>
      <c r="K441" s="1">
        <f t="shared" si="266"/>
        <v>0</v>
      </c>
    </row>
    <row r="442" spans="1:11" x14ac:dyDescent="0.35">
      <c r="A442" s="5"/>
      <c r="B442" s="5" t="s">
        <v>6</v>
      </c>
      <c r="C442" s="5" t="s">
        <v>7</v>
      </c>
      <c r="D442" t="s">
        <v>596</v>
      </c>
      <c r="E442" t="str">
        <f>E397</f>
        <v>PJ/yr.</v>
      </c>
      <c r="F442" s="1">
        <f>'[1]Electricity and CHPs_IN'!B$90</f>
        <v>2.0280875359028041</v>
      </c>
      <c r="G442" s="1">
        <f>'[1]Electricity and CHPs_IN'!C$90</f>
        <v>2.8106321016643734</v>
      </c>
      <c r="H442" s="1">
        <f>'[1]Electricity and CHPs_IN'!D$90</f>
        <v>0.59629161243257855</v>
      </c>
      <c r="I442" s="1">
        <f>'[1]Electricity and CHPs_IN'!E$90</f>
        <v>0</v>
      </c>
      <c r="J442" s="1">
        <f>'[1]Electricity and CHPs_IN'!F$90</f>
        <v>0</v>
      </c>
      <c r="K442" s="1">
        <f>'[1]Electricity and CHPs_IN'!G$90</f>
        <v>0</v>
      </c>
    </row>
    <row r="443" spans="1:11" x14ac:dyDescent="0.35">
      <c r="A443" s="5"/>
      <c r="B443" s="5" t="s">
        <v>6</v>
      </c>
      <c r="C443" s="5" t="s">
        <v>7</v>
      </c>
      <c r="D443" t="s">
        <v>879</v>
      </c>
      <c r="E443" t="str">
        <f>E397</f>
        <v>PJ/yr.</v>
      </c>
      <c r="F443" s="1">
        <f>F444</f>
        <v>1.1839727961330333</v>
      </c>
      <c r="G443" s="1">
        <f t="shared" ref="G443:K443" si="267">G444</f>
        <v>1.1839518197429977</v>
      </c>
      <c r="H443" s="1">
        <f t="shared" si="267"/>
        <v>1.1839527128335365</v>
      </c>
      <c r="I443" s="1">
        <f t="shared" si="267"/>
        <v>1.1839533543253378</v>
      </c>
      <c r="J443" s="1">
        <f t="shared" si="267"/>
        <v>1.2994863865248261</v>
      </c>
      <c r="K443" s="1">
        <f t="shared" si="267"/>
        <v>1.2994753572381414</v>
      </c>
    </row>
    <row r="444" spans="1:11" x14ac:dyDescent="0.35">
      <c r="A444" s="5"/>
      <c r="B444" s="5" t="s">
        <v>6</v>
      </c>
      <c r="C444" s="5" t="s">
        <v>7</v>
      </c>
      <c r="D444" t="s">
        <v>657</v>
      </c>
      <c r="E444" t="str">
        <f>E398</f>
        <v>PJ/yr.</v>
      </c>
      <c r="F444" s="1">
        <f>'[1]Electricity and CHPs_IN'!B$91</f>
        <v>1.1839727961330333</v>
      </c>
      <c r="G444" s="1">
        <f>'[1]Electricity and CHPs_IN'!C$91</f>
        <v>1.1839518197429977</v>
      </c>
      <c r="H444" s="1">
        <f>'[1]Electricity and CHPs_IN'!D$91</f>
        <v>1.1839527128335365</v>
      </c>
      <c r="I444" s="1">
        <f>'[1]Electricity and CHPs_IN'!E$91</f>
        <v>1.1839533543253378</v>
      </c>
      <c r="J444" s="1">
        <f>'[1]Electricity and CHPs_IN'!F$91</f>
        <v>1.2994863865248261</v>
      </c>
      <c r="K444" s="1">
        <f>'[1]Electricity and CHPs_IN'!G$91</f>
        <v>1.2994753572381414</v>
      </c>
    </row>
    <row r="445" spans="1:11" x14ac:dyDescent="0.35">
      <c r="A445" s="5"/>
      <c r="B445" s="5" t="s">
        <v>6</v>
      </c>
      <c r="C445" s="5" t="s">
        <v>7</v>
      </c>
      <c r="D445" t="s">
        <v>880</v>
      </c>
      <c r="E445" t="str">
        <f>E398</f>
        <v>PJ/yr.</v>
      </c>
      <c r="F445" s="1">
        <f>F446</f>
        <v>1.4500240724729587</v>
      </c>
      <c r="G445" s="1">
        <f t="shared" ref="G445:K445" si="268">G446</f>
        <v>3.801915350951345</v>
      </c>
      <c r="H445" s="1">
        <f t="shared" si="268"/>
        <v>3.8013930780159932</v>
      </c>
      <c r="I445" s="1">
        <f t="shared" si="268"/>
        <v>1.0696420869957424</v>
      </c>
      <c r="J445" s="1">
        <f t="shared" si="268"/>
        <v>0</v>
      </c>
      <c r="K445" s="1">
        <f t="shared" si="268"/>
        <v>0</v>
      </c>
    </row>
    <row r="446" spans="1:11" x14ac:dyDescent="0.35">
      <c r="A446" s="5"/>
      <c r="B446" s="5" t="s">
        <v>6</v>
      </c>
      <c r="C446" s="5" t="s">
        <v>7</v>
      </c>
      <c r="D446" t="s">
        <v>202</v>
      </c>
      <c r="E446" t="str">
        <f>E399</f>
        <v>PJ/yr.</v>
      </c>
      <c r="F446" s="1">
        <f>'[1]Electricity and CHPs_IN'!B$92</f>
        <v>1.4500240724729587</v>
      </c>
      <c r="G446" s="1">
        <f>'[1]Electricity and CHPs_IN'!C$92</f>
        <v>3.801915350951345</v>
      </c>
      <c r="H446" s="1">
        <f>'[1]Electricity and CHPs_IN'!D$92</f>
        <v>3.8013930780159932</v>
      </c>
      <c r="I446" s="1">
        <f>'[1]Electricity and CHPs_IN'!E$92</f>
        <v>1.0696420869957424</v>
      </c>
      <c r="J446" s="1">
        <f>'[1]Electricity and CHPs_IN'!F$92</f>
        <v>0</v>
      </c>
      <c r="K446" s="1">
        <f>'[1]Electricity and CHPs_IN'!G$92</f>
        <v>0</v>
      </c>
    </row>
    <row r="447" spans="1:11" x14ac:dyDescent="0.35">
      <c r="A447" s="5"/>
      <c r="B447" s="5" t="s">
        <v>6</v>
      </c>
      <c r="C447" s="5" t="s">
        <v>7</v>
      </c>
      <c r="D447" t="s">
        <v>881</v>
      </c>
      <c r="E447" t="str">
        <f>E399</f>
        <v>PJ/yr.</v>
      </c>
      <c r="F447" s="1">
        <f>F448</f>
        <v>0.21543725069298</v>
      </c>
      <c r="G447" s="1">
        <f t="shared" ref="G447:K447" si="269">G448</f>
        <v>0.21752942446469489</v>
      </c>
      <c r="H447" s="1">
        <f t="shared" si="269"/>
        <v>6.2269230373098727E-2</v>
      </c>
      <c r="I447" s="1">
        <f t="shared" si="269"/>
        <v>6.2724743617724565E-2</v>
      </c>
      <c r="J447" s="1">
        <f t="shared" si="269"/>
        <v>1.1421658494186962E-4</v>
      </c>
      <c r="K447" s="1">
        <f t="shared" si="269"/>
        <v>6.6296908525935572E-6</v>
      </c>
    </row>
    <row r="448" spans="1:11" x14ac:dyDescent="0.35">
      <c r="A448" s="5"/>
      <c r="B448" s="5" t="s">
        <v>6</v>
      </c>
      <c r="C448" s="5" t="s">
        <v>7</v>
      </c>
      <c r="D448" t="s">
        <v>203</v>
      </c>
      <c r="E448" t="str">
        <f>E400</f>
        <v>PJ/yr.</v>
      </c>
      <c r="F448" s="1">
        <f>'[1]Electricity and CHPs_IN'!B$93</f>
        <v>0.21543725069298</v>
      </c>
      <c r="G448" s="1">
        <f>'[1]Electricity and CHPs_IN'!C$93</f>
        <v>0.21752942446469489</v>
      </c>
      <c r="H448" s="1">
        <f>'[1]Electricity and CHPs_IN'!D$93</f>
        <v>6.2269230373098727E-2</v>
      </c>
      <c r="I448" s="1">
        <f>'[1]Electricity and CHPs_IN'!E$93</f>
        <v>6.2724743617724565E-2</v>
      </c>
      <c r="J448" s="1">
        <f>'[1]Electricity and CHPs_IN'!F$93</f>
        <v>1.1421658494186962E-4</v>
      </c>
      <c r="K448" s="1">
        <f>'[1]Electricity and CHPs_IN'!G$93</f>
        <v>6.6296908525935572E-6</v>
      </c>
    </row>
    <row r="449" spans="1:11" x14ac:dyDescent="0.35">
      <c r="A449" s="5"/>
      <c r="B449" s="5" t="s">
        <v>6</v>
      </c>
      <c r="C449" s="5" t="s">
        <v>7</v>
      </c>
      <c r="D449" t="s">
        <v>883</v>
      </c>
      <c r="E449" t="str">
        <f>E399</f>
        <v>PJ/yr.</v>
      </c>
      <c r="F449" s="1">
        <f>F450</f>
        <v>0.21543725069298</v>
      </c>
      <c r="G449" s="1">
        <f t="shared" ref="G449:K449" si="270">G450</f>
        <v>0.21752942446469489</v>
      </c>
      <c r="H449" s="1">
        <f t="shared" si="270"/>
        <v>6.2269230373098727E-2</v>
      </c>
      <c r="I449" s="1">
        <f t="shared" si="270"/>
        <v>6.2724743617724565E-2</v>
      </c>
      <c r="J449" s="1">
        <f t="shared" si="270"/>
        <v>1.1421658494186962E-4</v>
      </c>
      <c r="K449" s="1">
        <f t="shared" si="270"/>
        <v>6.6296908525935572E-6</v>
      </c>
    </row>
    <row r="450" spans="1:11" x14ac:dyDescent="0.35">
      <c r="A450" s="5"/>
      <c r="B450" s="5" t="s">
        <v>6</v>
      </c>
      <c r="C450" s="5" t="s">
        <v>7</v>
      </c>
      <c r="D450" t="s">
        <v>882</v>
      </c>
      <c r="E450" t="str">
        <f>E400</f>
        <v>PJ/yr.</v>
      </c>
      <c r="F450" s="1">
        <f>F448</f>
        <v>0.21543725069298</v>
      </c>
      <c r="G450" s="1">
        <f t="shared" ref="G450:K450" si="271">G448</f>
        <v>0.21752942446469489</v>
      </c>
      <c r="H450" s="1">
        <f t="shared" si="271"/>
        <v>6.2269230373098727E-2</v>
      </c>
      <c r="I450" s="1">
        <f t="shared" si="271"/>
        <v>6.2724743617724565E-2</v>
      </c>
      <c r="J450" s="1">
        <f t="shared" si="271"/>
        <v>1.1421658494186962E-4</v>
      </c>
      <c r="K450" s="1">
        <f t="shared" si="271"/>
        <v>6.6296908525935572E-6</v>
      </c>
    </row>
    <row r="451" spans="1:11" x14ac:dyDescent="0.35">
      <c r="A451" s="5"/>
      <c r="B451" s="5" t="s">
        <v>6</v>
      </c>
      <c r="C451" s="5" t="s">
        <v>7</v>
      </c>
      <c r="D451" t="s">
        <v>885</v>
      </c>
      <c r="E451" t="str">
        <f>E400</f>
        <v>PJ/yr.</v>
      </c>
      <c r="F451" s="1">
        <f>F452</f>
        <v>0</v>
      </c>
      <c r="G451" s="1">
        <f t="shared" ref="G451:K451" si="272">G452</f>
        <v>0</v>
      </c>
      <c r="H451" s="1">
        <f t="shared" si="272"/>
        <v>0</v>
      </c>
      <c r="I451" s="1">
        <f t="shared" si="272"/>
        <v>0</v>
      </c>
      <c r="J451" s="1">
        <f t="shared" si="272"/>
        <v>0</v>
      </c>
      <c r="K451" s="1">
        <f t="shared" si="272"/>
        <v>0</v>
      </c>
    </row>
    <row r="452" spans="1:11" x14ac:dyDescent="0.35">
      <c r="A452" s="5"/>
      <c r="B452" s="5" t="s">
        <v>6</v>
      </c>
      <c r="C452" s="5" t="s">
        <v>7</v>
      </c>
      <c r="D452" t="s">
        <v>884</v>
      </c>
      <c r="E452" t="str">
        <f>E401</f>
        <v>PJ/yr.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</row>
    <row r="453" spans="1:11" x14ac:dyDescent="0.35">
      <c r="A453" s="5"/>
      <c r="B453" s="5" t="s">
        <v>6</v>
      </c>
      <c r="C453" s="5" t="s">
        <v>7</v>
      </c>
      <c r="D453" t="s">
        <v>886</v>
      </c>
      <c r="E453" t="str">
        <f>E400</f>
        <v>PJ/yr.</v>
      </c>
      <c r="F453" s="1">
        <f>F454</f>
        <v>1.9084361588438912</v>
      </c>
      <c r="G453" s="1">
        <f t="shared" ref="G453:K453" si="273">G454</f>
        <v>1.7223602539882741</v>
      </c>
      <c r="H453" s="1">
        <f t="shared" si="273"/>
        <v>1.4767153936887218</v>
      </c>
      <c r="I453" s="1">
        <f t="shared" si="273"/>
        <v>1.1426581971877399</v>
      </c>
      <c r="J453" s="1">
        <f t="shared" si="273"/>
        <v>1.4422381860120135</v>
      </c>
      <c r="K453" s="1">
        <f t="shared" si="273"/>
        <v>0.86354203207924229</v>
      </c>
    </row>
    <row r="454" spans="1:11" x14ac:dyDescent="0.35">
      <c r="A454" s="5"/>
      <c r="B454" s="5" t="s">
        <v>6</v>
      </c>
      <c r="C454" s="5" t="s">
        <v>7</v>
      </c>
      <c r="D454" t="s">
        <v>204</v>
      </c>
      <c r="E454" t="str">
        <f>E401</f>
        <v>PJ/yr.</v>
      </c>
      <c r="F454" s="1">
        <f>'[1]Electricity and CHPs_IN'!B$94</f>
        <v>1.9084361588438912</v>
      </c>
      <c r="G454" s="1">
        <f>'[1]Electricity and CHPs_IN'!C$94</f>
        <v>1.7223602539882741</v>
      </c>
      <c r="H454" s="1">
        <f>'[1]Electricity and CHPs_IN'!D$94</f>
        <v>1.4767153936887218</v>
      </c>
      <c r="I454" s="1">
        <f>'[1]Electricity and CHPs_IN'!E$94</f>
        <v>1.1426581971877399</v>
      </c>
      <c r="J454" s="1">
        <f>'[1]Electricity and CHPs_IN'!F$94</f>
        <v>1.4422381860120135</v>
      </c>
      <c r="K454" s="1">
        <f>'[1]Electricity and CHPs_IN'!G$94</f>
        <v>0.86354203207924229</v>
      </c>
    </row>
    <row r="455" spans="1:11" x14ac:dyDescent="0.35">
      <c r="A455" s="5"/>
      <c r="B455" s="5" t="s">
        <v>6</v>
      </c>
      <c r="C455" s="5" t="s">
        <v>7</v>
      </c>
      <c r="D455" t="s">
        <v>887</v>
      </c>
      <c r="E455" t="str">
        <f>E401</f>
        <v>PJ/yr.</v>
      </c>
      <c r="F455" s="1">
        <f>F456</f>
        <v>0</v>
      </c>
      <c r="G455" s="1">
        <f t="shared" ref="G455:K455" si="274">G456</f>
        <v>0</v>
      </c>
      <c r="H455" s="1">
        <f t="shared" si="274"/>
        <v>0</v>
      </c>
      <c r="I455" s="1">
        <f t="shared" si="274"/>
        <v>5.382653494706185E-5</v>
      </c>
      <c r="J455" s="1">
        <f t="shared" si="274"/>
        <v>5.1655745512141643E-5</v>
      </c>
      <c r="K455" s="1">
        <f t="shared" si="274"/>
        <v>5.2487338664379215E-5</v>
      </c>
    </row>
    <row r="456" spans="1:11" x14ac:dyDescent="0.35">
      <c r="A456" s="5"/>
      <c r="B456" s="5" t="s">
        <v>6</v>
      </c>
      <c r="C456" s="5" t="s">
        <v>7</v>
      </c>
      <c r="D456" t="s">
        <v>205</v>
      </c>
      <c r="E456" t="str">
        <f>E402</f>
        <v>PJ/yr.</v>
      </c>
      <c r="F456" s="1">
        <f>'[1]Electricity and CHPs_IN'!B$95</f>
        <v>0</v>
      </c>
      <c r="G456" s="1">
        <f>'[1]Electricity and CHPs_IN'!C$95</f>
        <v>0</v>
      </c>
      <c r="H456" s="1">
        <f>'[1]Electricity and CHPs_IN'!D$95</f>
        <v>0</v>
      </c>
      <c r="I456" s="1">
        <f>'[1]Electricity and CHPs_IN'!E$95</f>
        <v>5.382653494706185E-5</v>
      </c>
      <c r="J456" s="1">
        <f>'[1]Electricity and CHPs_IN'!F$95</f>
        <v>5.1655745512141643E-5</v>
      </c>
      <c r="K456" s="1">
        <f>'[1]Electricity and CHPs_IN'!G$95</f>
        <v>5.2487338664379215E-5</v>
      </c>
    </row>
    <row r="457" spans="1:11" x14ac:dyDescent="0.35">
      <c r="A457" s="5"/>
      <c r="B457" s="5" t="s">
        <v>6</v>
      </c>
      <c r="C457" s="5" t="s">
        <v>7</v>
      </c>
      <c r="D457" t="s">
        <v>888</v>
      </c>
      <c r="E457" t="str">
        <f>E402</f>
        <v>PJ/yr.</v>
      </c>
      <c r="F457" s="1">
        <f>F458</f>
        <v>0</v>
      </c>
      <c r="G457" s="1">
        <f t="shared" ref="G457:K457" si="275">G458</f>
        <v>0</v>
      </c>
      <c r="H457" s="1">
        <f t="shared" si="275"/>
        <v>0</v>
      </c>
      <c r="I457" s="1">
        <f t="shared" si="275"/>
        <v>0</v>
      </c>
      <c r="J457" s="1">
        <f t="shared" si="275"/>
        <v>7.856978261741567E-5</v>
      </c>
      <c r="K457" s="1">
        <f t="shared" si="275"/>
        <v>7.5004874276311573E-5</v>
      </c>
    </row>
    <row r="458" spans="1:11" x14ac:dyDescent="0.35">
      <c r="A458" s="5"/>
      <c r="B458" s="5" t="s">
        <v>6</v>
      </c>
      <c r="C458" s="5" t="s">
        <v>7</v>
      </c>
      <c r="D458" t="s">
        <v>232</v>
      </c>
      <c r="E458" t="str">
        <f>E403</f>
        <v>PJ/yr.</v>
      </c>
      <c r="F458" s="1">
        <f>'[1]Electricity and CHPs_IN'!B$96</f>
        <v>0</v>
      </c>
      <c r="G458" s="1">
        <f>'[1]Electricity and CHPs_IN'!C$96</f>
        <v>0</v>
      </c>
      <c r="H458" s="1">
        <f>'[1]Electricity and CHPs_IN'!D$96</f>
        <v>0</v>
      </c>
      <c r="I458" s="1">
        <f>'[1]Electricity and CHPs_IN'!E$96</f>
        <v>0</v>
      </c>
      <c r="J458" s="1">
        <f>'[1]Electricity and CHPs_IN'!F$96</f>
        <v>7.856978261741567E-5</v>
      </c>
      <c r="K458" s="1">
        <f>'[1]Electricity and CHPs_IN'!G$96</f>
        <v>7.5004874276311573E-5</v>
      </c>
    </row>
    <row r="459" spans="1:11" x14ac:dyDescent="0.35">
      <c r="A459" s="5"/>
      <c r="B459" s="5" t="s">
        <v>6</v>
      </c>
      <c r="C459" s="5" t="s">
        <v>7</v>
      </c>
      <c r="D459" t="s">
        <v>889</v>
      </c>
      <c r="E459" t="str">
        <f>E402</f>
        <v>PJ/yr.</v>
      </c>
      <c r="F459" s="1">
        <f>F460</f>
        <v>0</v>
      </c>
      <c r="G459" s="1">
        <f t="shared" ref="G459" si="276">G460</f>
        <v>1.2055757409577694</v>
      </c>
      <c r="H459" s="1">
        <f>H460</f>
        <v>1.2421060534697712</v>
      </c>
      <c r="I459" s="1">
        <f t="shared" ref="I459" si="277">I460</f>
        <v>2.7215190634432935</v>
      </c>
      <c r="J459" s="1">
        <f t="shared" ref="J459" si="278">J460</f>
        <v>3.0062504108193697</v>
      </c>
      <c r="K459" s="1">
        <f t="shared" ref="K459" si="279">K460</f>
        <v>3.3207703719576496</v>
      </c>
    </row>
    <row r="460" spans="1:11" x14ac:dyDescent="0.35">
      <c r="A460" s="5"/>
      <c r="B460" s="5" t="s">
        <v>6</v>
      </c>
      <c r="C460" s="5" t="s">
        <v>7</v>
      </c>
      <c r="D460" t="s">
        <v>890</v>
      </c>
      <c r="E460" t="str">
        <f>E403</f>
        <v>PJ/yr.</v>
      </c>
      <c r="F460" s="1">
        <f>'[1]Electricity and CHPs_IN'!B$97</f>
        <v>0</v>
      </c>
      <c r="G460" s="1">
        <f>'[1]Electricity and CHPs_IN'!C$97</f>
        <v>1.2055757409577694</v>
      </c>
      <c r="H460" s="1">
        <f>'[1]Electricity and CHPs_IN'!D$97</f>
        <v>1.2421060534697712</v>
      </c>
      <c r="I460" s="1">
        <f>'[1]Electricity and CHPs_IN'!E$97</f>
        <v>2.7215190634432935</v>
      </c>
      <c r="J460" s="1">
        <f>'[1]Electricity and CHPs_IN'!F$97</f>
        <v>3.0062504108193697</v>
      </c>
      <c r="K460" s="1">
        <f>'[1]Electricity and CHPs_IN'!G$97</f>
        <v>3.3207703719576496</v>
      </c>
    </row>
    <row r="461" spans="1:11" x14ac:dyDescent="0.35">
      <c r="A461" s="5"/>
      <c r="B461" s="5" t="s">
        <v>6</v>
      </c>
      <c r="C461" s="5" t="s">
        <v>7</v>
      </c>
      <c r="D461" t="s">
        <v>891</v>
      </c>
      <c r="E461" t="str">
        <f>E397</f>
        <v>PJ/yr.</v>
      </c>
      <c r="F461" s="1">
        <f>SUM(F462,F468,F501,F510,F516)</f>
        <v>7.9009559661179125</v>
      </c>
      <c r="G461" s="1">
        <f t="shared" ref="G461:K461" si="280">SUM(G462,G468,G501,G510,G516)</f>
        <v>8.8151724716327671</v>
      </c>
      <c r="H461" s="1">
        <f t="shared" si="280"/>
        <v>10.26126484239556</v>
      </c>
      <c r="I461" s="1">
        <f t="shared" si="280"/>
        <v>11.833534406631584</v>
      </c>
      <c r="J461" s="1">
        <f t="shared" si="280"/>
        <v>14.523945655086157</v>
      </c>
      <c r="K461" s="1">
        <f t="shared" si="280"/>
        <v>22.21277301710855</v>
      </c>
    </row>
    <row r="462" spans="1:11" x14ac:dyDescent="0.35">
      <c r="A462" s="5"/>
      <c r="B462" s="5" t="s">
        <v>6</v>
      </c>
      <c r="C462" s="5" t="s">
        <v>7</v>
      </c>
      <c r="D462" t="s">
        <v>892</v>
      </c>
      <c r="E462" t="str">
        <f>E397</f>
        <v>PJ/yr.</v>
      </c>
      <c r="F462" s="1">
        <f>+F463</f>
        <v>0.27291969137607691</v>
      </c>
      <c r="G462" s="1">
        <f t="shared" ref="G462:K462" si="281">+G463</f>
        <v>0.64223587649394775</v>
      </c>
      <c r="H462" s="1">
        <f t="shared" si="281"/>
        <v>3.9238239256817409E-2</v>
      </c>
      <c r="I462" s="1">
        <f t="shared" si="281"/>
        <v>0.57518571979283151</v>
      </c>
      <c r="J462" s="1">
        <f t="shared" si="281"/>
        <v>0</v>
      </c>
      <c r="K462" s="1">
        <f t="shared" si="281"/>
        <v>0</v>
      </c>
    </row>
    <row r="463" spans="1:11" x14ac:dyDescent="0.35">
      <c r="A463" s="5"/>
      <c r="B463" s="5" t="s">
        <v>6</v>
      </c>
      <c r="C463" s="5" t="s">
        <v>7</v>
      </c>
      <c r="D463" t="s">
        <v>206</v>
      </c>
      <c r="E463" t="str">
        <f>E398</f>
        <v>PJ/yr.</v>
      </c>
      <c r="F463" s="1">
        <f>'[1]Electricity and CHPs_IN'!B$41-F299</f>
        <v>0.27291969137607691</v>
      </c>
      <c r="G463" s="1">
        <f>'[1]Electricity and CHPs_IN'!C$41-G299</f>
        <v>0.64223587649394775</v>
      </c>
      <c r="H463" s="1">
        <f>'[1]Electricity and CHPs_IN'!D$41-H299</f>
        <v>3.9238239256817409E-2</v>
      </c>
      <c r="I463" s="1">
        <f>'[1]Electricity and CHPs_IN'!E$41-I299</f>
        <v>0.57518571979283151</v>
      </c>
      <c r="J463" s="1">
        <f>'[1]Electricity and CHPs_IN'!F$41-J299</f>
        <v>0</v>
      </c>
      <c r="K463" s="1">
        <f>'[1]Electricity and CHPs_IN'!G$41-K299</f>
        <v>0</v>
      </c>
    </row>
    <row r="464" spans="1:11" x14ac:dyDescent="0.35">
      <c r="A464" s="5"/>
      <c r="B464" s="5" t="s">
        <v>6</v>
      </c>
      <c r="C464" s="5" t="s">
        <v>7</v>
      </c>
      <c r="D464" t="s">
        <v>894</v>
      </c>
      <c r="E464" t="str">
        <f>E397</f>
        <v>PJ/yr.</v>
      </c>
      <c r="F464" s="1">
        <f>F465</f>
        <v>0.27291969137607691</v>
      </c>
      <c r="G464" s="1">
        <f t="shared" ref="G464:K464" si="282">G465</f>
        <v>0.64223587649394775</v>
      </c>
      <c r="H464" s="1">
        <f t="shared" si="282"/>
        <v>3.9238239256817409E-2</v>
      </c>
      <c r="I464" s="1">
        <f t="shared" si="282"/>
        <v>0.57518571979283151</v>
      </c>
      <c r="J464" s="1">
        <f t="shared" si="282"/>
        <v>0</v>
      </c>
      <c r="K464" s="1">
        <f t="shared" si="282"/>
        <v>0</v>
      </c>
    </row>
    <row r="465" spans="1:11" x14ac:dyDescent="0.35">
      <c r="A465" s="5"/>
      <c r="B465" s="5" t="s">
        <v>6</v>
      </c>
      <c r="C465" s="5" t="s">
        <v>7</v>
      </c>
      <c r="D465" t="s">
        <v>524</v>
      </c>
      <c r="E465" t="str">
        <f>E398</f>
        <v>PJ/yr.</v>
      </c>
      <c r="F465" s="1">
        <f>F463-F467</f>
        <v>0.27291969137607691</v>
      </c>
      <c r="G465" s="1">
        <f t="shared" ref="G465:K465" si="283">G463-G467</f>
        <v>0.64223587649394775</v>
      </c>
      <c r="H465" s="1">
        <f t="shared" si="283"/>
        <v>3.9238239256817409E-2</v>
      </c>
      <c r="I465" s="1">
        <f t="shared" si="283"/>
        <v>0.57518571979283151</v>
      </c>
      <c r="J465" s="1">
        <f t="shared" si="283"/>
        <v>0</v>
      </c>
      <c r="K465" s="1">
        <f t="shared" si="283"/>
        <v>0</v>
      </c>
    </row>
    <row r="466" spans="1:11" x14ac:dyDescent="0.35">
      <c r="A466" s="5"/>
      <c r="B466" s="5" t="s">
        <v>6</v>
      </c>
      <c r="C466" s="5" t="s">
        <v>7</v>
      </c>
      <c r="D466" t="s">
        <v>895</v>
      </c>
      <c r="E466" t="str">
        <f>E398</f>
        <v>PJ/yr.</v>
      </c>
      <c r="F466" s="1">
        <f>F467</f>
        <v>0</v>
      </c>
      <c r="G466" s="1">
        <f t="shared" ref="G466:K466" si="284">G467</f>
        <v>0</v>
      </c>
      <c r="H466" s="1">
        <f t="shared" si="284"/>
        <v>0</v>
      </c>
      <c r="I466" s="1">
        <f t="shared" si="284"/>
        <v>0</v>
      </c>
      <c r="J466" s="1">
        <f t="shared" si="284"/>
        <v>0</v>
      </c>
      <c r="K466" s="1">
        <f t="shared" si="284"/>
        <v>0</v>
      </c>
    </row>
    <row r="467" spans="1:11" x14ac:dyDescent="0.35">
      <c r="A467" s="5"/>
      <c r="B467" s="5" t="s">
        <v>6</v>
      </c>
      <c r="C467" s="5" t="s">
        <v>7</v>
      </c>
      <c r="D467" t="s">
        <v>548</v>
      </c>
      <c r="E467" t="str">
        <f>E399</f>
        <v>PJ/yr.</v>
      </c>
      <c r="F467" s="1">
        <f>IFERROR(F307/F299,0)*F463</f>
        <v>0</v>
      </c>
      <c r="G467" s="1">
        <f t="shared" ref="G467:K467" si="285">IFERROR(G307/G299,0)*G463</f>
        <v>0</v>
      </c>
      <c r="H467" s="1">
        <f t="shared" si="285"/>
        <v>0</v>
      </c>
      <c r="I467" s="1">
        <f t="shared" si="285"/>
        <v>0</v>
      </c>
      <c r="J467" s="1">
        <f t="shared" si="285"/>
        <v>0</v>
      </c>
      <c r="K467" s="1">
        <f t="shared" si="285"/>
        <v>0</v>
      </c>
    </row>
    <row r="468" spans="1:11" x14ac:dyDescent="0.35">
      <c r="A468" s="5"/>
      <c r="B468" s="5" t="s">
        <v>6</v>
      </c>
      <c r="C468" s="5" t="s">
        <v>7</v>
      </c>
      <c r="D468" t="s">
        <v>893</v>
      </c>
      <c r="E468" t="str">
        <f>E399</f>
        <v>PJ/yr.</v>
      </c>
      <c r="F468" s="1">
        <f>SUM(F469:F478)</f>
        <v>3.618617516629381</v>
      </c>
      <c r="G468" s="1">
        <f t="shared" ref="G468:K468" si="286">SUM(G469:G478)</f>
        <v>3.073541566699701</v>
      </c>
      <c r="H468" s="1">
        <f t="shared" si="286"/>
        <v>2.2853014346702114</v>
      </c>
      <c r="I468" s="1">
        <f t="shared" si="286"/>
        <v>2.8471548191358833</v>
      </c>
      <c r="J468" s="1">
        <f t="shared" si="286"/>
        <v>2.9514430875341131</v>
      </c>
      <c r="K468" s="1">
        <f t="shared" si="286"/>
        <v>2.7827475839538991</v>
      </c>
    </row>
    <row r="469" spans="1:11" x14ac:dyDescent="0.35">
      <c r="A469" s="5"/>
      <c r="B469" s="5" t="s">
        <v>6</v>
      </c>
      <c r="C469" s="5" t="s">
        <v>7</v>
      </c>
      <c r="D469" t="s">
        <v>207</v>
      </c>
      <c r="E469" t="str">
        <f>E400</f>
        <v>PJ/yr.</v>
      </c>
      <c r="F469" s="1">
        <f>'[1]Electricity and CHPs_IN'!B$39-F314</f>
        <v>1.0247737264595624</v>
      </c>
      <c r="G469" s="1">
        <f>'[1]Electricity and CHPs_IN'!C$39-G314</f>
        <v>0.13540592707984395</v>
      </c>
      <c r="H469" s="1">
        <f>'[1]Electricity and CHPs_IN'!D$39-H314</f>
        <v>7.7820250562908963E-2</v>
      </c>
      <c r="I469" s="1">
        <f>'[1]Electricity and CHPs_IN'!E$39-I314</f>
        <v>0.15409251452609674</v>
      </c>
      <c r="J469" s="1">
        <f>'[1]Electricity and CHPs_IN'!F$39-J314</f>
        <v>0.98724376925302637</v>
      </c>
      <c r="K469" s="1">
        <f>'[1]Electricity and CHPs_IN'!G$39-K314</f>
        <v>1.0174747807743394</v>
      </c>
    </row>
    <row r="470" spans="1:11" x14ac:dyDescent="0.35">
      <c r="A470" s="5"/>
      <c r="B470" s="5" t="s">
        <v>6</v>
      </c>
      <c r="C470" s="5" t="s">
        <v>7</v>
      </c>
      <c r="D470" t="s">
        <v>208</v>
      </c>
      <c r="E470" t="str">
        <f>E401</f>
        <v>PJ/yr.</v>
      </c>
      <c r="F470" s="6">
        <f>'[1]Electricity and CHPs_IN'!B$40-F315</f>
        <v>0</v>
      </c>
      <c r="G470" s="6">
        <f>'[1]Electricity and CHPs_IN'!C$40-G315</f>
        <v>0</v>
      </c>
      <c r="H470" s="6">
        <f>'[1]Electricity and CHPs_IN'!D$40-H315</f>
        <v>0</v>
      </c>
      <c r="I470" s="6">
        <f>'[1]Electricity and CHPs_IN'!E$40-I315</f>
        <v>0</v>
      </c>
      <c r="J470" s="6">
        <f>'[1]Electricity and CHPs_IN'!F$40-J315</f>
        <v>3.1918739215897568E-3</v>
      </c>
      <c r="K470" s="6">
        <f>'[1]Electricity and CHPs_IN'!G$40-K315</f>
        <v>0.39760348049824795</v>
      </c>
    </row>
    <row r="471" spans="1:11" x14ac:dyDescent="0.35">
      <c r="A471" s="5"/>
      <c r="B471" s="5" t="s">
        <v>6</v>
      </c>
      <c r="C471" s="5" t="s">
        <v>7</v>
      </c>
      <c r="D471" t="s">
        <v>209</v>
      </c>
      <c r="E471" t="str">
        <f>E402</f>
        <v>PJ/yr.</v>
      </c>
      <c r="F471" s="6">
        <f>'[1]Electricity and CHPs_IN'!$B$47-F316</f>
        <v>0</v>
      </c>
      <c r="G471" s="6">
        <f>'[1]Electricity and CHPs_IN'!$B$47-G316</f>
        <v>0</v>
      </c>
      <c r="H471" s="6">
        <f>'[1]Electricity and CHPs_IN'!$B$47-H316</f>
        <v>0</v>
      </c>
      <c r="I471" s="6">
        <f>'[1]Electricity and CHPs_IN'!$B$47-I316</f>
        <v>0</v>
      </c>
      <c r="J471" s="6">
        <f>'[1]Electricity and CHPs_IN'!$B$47-J316</f>
        <v>0</v>
      </c>
      <c r="K471" s="6">
        <f>'[1]Electricity and CHPs_IN'!$B$47-K316</f>
        <v>0</v>
      </c>
    </row>
    <row r="472" spans="1:11" x14ac:dyDescent="0.35">
      <c r="A472" s="5"/>
      <c r="B472" s="5" t="s">
        <v>6</v>
      </c>
      <c r="C472" s="5" t="s">
        <v>7</v>
      </c>
      <c r="D472" t="s">
        <v>210</v>
      </c>
      <c r="E472" t="str">
        <f>E427</f>
        <v>PJ/yr.</v>
      </c>
      <c r="F472" s="1">
        <f>'[1]Electricity and CHPs_IN'!B$48-F317</f>
        <v>4.2554662745980062E-2</v>
      </c>
      <c r="G472" s="1">
        <f>'[1]Electricity and CHPs_IN'!C$48-G317</f>
        <v>6.1018272539198519E-3</v>
      </c>
      <c r="H472" s="1">
        <f>'[1]Electricity and CHPs_IN'!D$48-H317</f>
        <v>1.2319037065360547E-2</v>
      </c>
      <c r="I472" s="1">
        <f>'[1]Electricity and CHPs_IN'!E$48-I317</f>
        <v>1.9838476520361088E-2</v>
      </c>
      <c r="J472" s="1">
        <f>'[1]Electricity and CHPs_IN'!F$48-J317</f>
        <v>6.6305161529366117E-3</v>
      </c>
      <c r="K472" s="1">
        <f>'[1]Electricity and CHPs_IN'!G$48-K317</f>
        <v>0</v>
      </c>
    </row>
    <row r="473" spans="1:11" x14ac:dyDescent="0.35">
      <c r="A473" s="5"/>
      <c r="B473" s="5" t="s">
        <v>6</v>
      </c>
      <c r="C473" s="5" t="s">
        <v>7</v>
      </c>
      <c r="D473" t="s">
        <v>211</v>
      </c>
      <c r="E473" t="str">
        <f>E429</f>
        <v>PJ/yr.</v>
      </c>
      <c r="F473" s="6">
        <f>'[1]Electricity and CHPs_IN'!B$49-F318</f>
        <v>0</v>
      </c>
      <c r="G473" s="6">
        <f>'[1]Electricity and CHPs_IN'!C$49-G318</f>
        <v>0</v>
      </c>
      <c r="H473" s="6">
        <f>'[1]Electricity and CHPs_IN'!D$49-H318</f>
        <v>0</v>
      </c>
      <c r="I473" s="6">
        <f>'[1]Electricity and CHPs_IN'!E$49-I318</f>
        <v>0</v>
      </c>
      <c r="J473" s="6">
        <f>'[1]Electricity and CHPs_IN'!F$49-J318</f>
        <v>0</v>
      </c>
      <c r="K473" s="6">
        <f>'[1]Electricity and CHPs_IN'!G$49-K318</f>
        <v>0</v>
      </c>
    </row>
    <row r="474" spans="1:11" x14ac:dyDescent="0.35">
      <c r="A474" s="5"/>
      <c r="B474" s="5" t="s">
        <v>6</v>
      </c>
      <c r="C474" s="5" t="s">
        <v>7</v>
      </c>
      <c r="D474" t="s">
        <v>212</v>
      </c>
      <c r="E474" t="str">
        <f>E430</f>
        <v>PJ/yr.</v>
      </c>
      <c r="F474" s="1">
        <f>'[1]Electricity and CHPs_IN'!B$51-F319</f>
        <v>7.8000224269687196E-2</v>
      </c>
      <c r="G474" s="1">
        <f>'[1]Electricity and CHPs_IN'!C$51-G319</f>
        <v>0.1931323274143161</v>
      </c>
      <c r="H474" s="1">
        <f>'[1]Electricity and CHPs_IN'!D$51-H319</f>
        <v>0.19542615228705135</v>
      </c>
      <c r="I474" s="1">
        <f>'[1]Electricity and CHPs_IN'!E$51-I319</f>
        <v>0.75640206959298129</v>
      </c>
      <c r="J474" s="1">
        <f>'[1]Electricity and CHPs_IN'!F$51-J319</f>
        <v>0.34677110931740662</v>
      </c>
      <c r="K474" s="1">
        <f>'[1]Electricity and CHPs_IN'!G$51-K319</f>
        <v>0</v>
      </c>
    </row>
    <row r="475" spans="1:11" x14ac:dyDescent="0.35">
      <c r="A475" s="5"/>
      <c r="B475" s="5" t="s">
        <v>6</v>
      </c>
      <c r="C475" s="5" t="s">
        <v>7</v>
      </c>
      <c r="D475" t="s">
        <v>213</v>
      </c>
      <c r="E475" t="str">
        <f>E432</f>
        <v>PJ/yr.</v>
      </c>
      <c r="F475" s="1">
        <f>'[1]Electricity and CHPs_IN'!B$52-F320</f>
        <v>0</v>
      </c>
      <c r="G475" s="1">
        <f>'[1]Electricity and CHPs_IN'!C$52-G320</f>
        <v>0</v>
      </c>
      <c r="H475" s="1">
        <f>'[1]Electricity and CHPs_IN'!D$52-H320</f>
        <v>0</v>
      </c>
      <c r="I475" s="1">
        <f>'[1]Electricity and CHPs_IN'!E$52-I320</f>
        <v>0</v>
      </c>
      <c r="J475" s="1">
        <f>'[1]Electricity and CHPs_IN'!F$52-J320</f>
        <v>0</v>
      </c>
      <c r="K475" s="1">
        <f>'[1]Electricity and CHPs_IN'!G$52-K320</f>
        <v>0</v>
      </c>
    </row>
    <row r="476" spans="1:11" x14ac:dyDescent="0.35">
      <c r="A476" s="5"/>
      <c r="B476" s="5" t="s">
        <v>6</v>
      </c>
      <c r="C476" s="5" t="s">
        <v>7</v>
      </c>
      <c r="D476" t="s">
        <v>214</v>
      </c>
      <c r="E476" t="str">
        <f>E456</f>
        <v>PJ/yr.</v>
      </c>
      <c r="F476" s="1">
        <f>'[1]Electricity and CHPs_IN'!B$54-F321</f>
        <v>1.5806985602352992</v>
      </c>
      <c r="G476" s="1">
        <f>'[1]Electricity and CHPs_IN'!C$54-G321</f>
        <v>1.7910783063336644</v>
      </c>
      <c r="H476" s="1">
        <f>'[1]Electricity and CHPs_IN'!D$54-H321</f>
        <v>1.7423453579679768</v>
      </c>
      <c r="I476" s="1">
        <f>'[1]Electricity and CHPs_IN'!E$54-I321</f>
        <v>1.6520442091243133</v>
      </c>
      <c r="J476" s="1">
        <f>'[1]Electricity and CHPs_IN'!F$54-J321</f>
        <v>1.4049776171473969</v>
      </c>
      <c r="K476" s="1">
        <f>'[1]Electricity and CHPs_IN'!G$54-K321</f>
        <v>1.3676693226813119</v>
      </c>
    </row>
    <row r="477" spans="1:11" x14ac:dyDescent="0.35">
      <c r="A477" s="5"/>
      <c r="B477" s="5" t="s">
        <v>6</v>
      </c>
      <c r="C477" s="5" t="s">
        <v>7</v>
      </c>
      <c r="D477" t="s">
        <v>215</v>
      </c>
      <c r="E477" t="str">
        <f>E458</f>
        <v>PJ/yr.</v>
      </c>
      <c r="F477" s="1">
        <f>'[1]Electricity and CHPs_IN'!B$55-F322</f>
        <v>0.89259034291885231</v>
      </c>
      <c r="G477" s="1">
        <f>'[1]Electricity and CHPs_IN'!C$55-G322</f>
        <v>0.94782317861795673</v>
      </c>
      <c r="H477" s="1">
        <f>'[1]Electricity and CHPs_IN'!D$55-H322</f>
        <v>0.25739063678691387</v>
      </c>
      <c r="I477" s="1">
        <f>'[1]Electricity and CHPs_IN'!E$55-I322</f>
        <v>0.26477754937213094</v>
      </c>
      <c r="J477" s="1">
        <f>'[1]Electricity and CHPs_IN'!F$55-J322</f>
        <v>0.20262820174175686</v>
      </c>
      <c r="K477" s="1">
        <f>'[1]Electricity and CHPs_IN'!G$55-K322</f>
        <v>0</v>
      </c>
    </row>
    <row r="478" spans="1:11" x14ac:dyDescent="0.35">
      <c r="A478" s="5"/>
      <c r="B478" s="5" t="s">
        <v>6</v>
      </c>
      <c r="C478" s="5" t="s">
        <v>7</v>
      </c>
      <c r="D478" t="s">
        <v>216</v>
      </c>
      <c r="E478" t="str">
        <f>E460</f>
        <v>PJ/yr.</v>
      </c>
      <c r="F478" s="1">
        <f>'[1]Electricity and CHPs_IN'!B$58-F323</f>
        <v>0</v>
      </c>
      <c r="G478" s="1">
        <f>'[1]Electricity and CHPs_IN'!C$58-G323</f>
        <v>0</v>
      </c>
      <c r="H478" s="1">
        <f>'[1]Electricity and CHPs_IN'!D$58-H323</f>
        <v>0</v>
      </c>
      <c r="I478" s="1">
        <f>'[1]Electricity and CHPs_IN'!E$58-I323</f>
        <v>0</v>
      </c>
      <c r="J478" s="1">
        <f>'[1]Electricity and CHPs_IN'!F$58-J323</f>
        <v>0</v>
      </c>
      <c r="K478" s="1">
        <f>'[1]Electricity and CHPs_IN'!G$58-K323</f>
        <v>0</v>
      </c>
    </row>
    <row r="479" spans="1:11" x14ac:dyDescent="0.35">
      <c r="A479" s="5"/>
      <c r="B479" s="5" t="s">
        <v>6</v>
      </c>
      <c r="C479" s="5" t="s">
        <v>7</v>
      </c>
      <c r="D479" t="s">
        <v>896</v>
      </c>
      <c r="E479" t="str">
        <f>E400</f>
        <v>PJ/yr.</v>
      </c>
      <c r="F479" s="1">
        <f>SUM(F480:F489)</f>
        <v>1.9865242199526036</v>
      </c>
      <c r="G479" s="1">
        <f t="shared" ref="G479:K479" si="287">SUM(G480:G489)</f>
        <v>1.2542425248823053</v>
      </c>
      <c r="H479" s="1">
        <f t="shared" si="287"/>
        <v>0.51852391358251682</v>
      </c>
      <c r="I479" s="1">
        <f t="shared" si="287"/>
        <v>1.1746435515339377</v>
      </c>
      <c r="J479" s="1">
        <f t="shared" si="287"/>
        <v>1.3660334109878143</v>
      </c>
      <c r="K479" s="1">
        <f t="shared" si="287"/>
        <v>0.57993652387753469</v>
      </c>
    </row>
    <row r="480" spans="1:11" x14ac:dyDescent="0.35">
      <c r="A480" s="5"/>
      <c r="B480" s="5" t="s">
        <v>6</v>
      </c>
      <c r="C480" s="5" t="s">
        <v>7</v>
      </c>
      <c r="D480" t="s">
        <v>597</v>
      </c>
      <c r="E480" t="str">
        <f>E400</f>
        <v>PJ/yr.</v>
      </c>
      <c r="F480" s="1">
        <f t="shared" ref="F480:F486" si="288">F469-F491</f>
        <v>0.99892972740440278</v>
      </c>
      <c r="G480" s="1">
        <f t="shared" ref="G480:K480" si="289">G469-G491</f>
        <v>0.13242630577672837</v>
      </c>
      <c r="H480" s="1">
        <f t="shared" si="289"/>
        <v>7.4318462596341978E-2</v>
      </c>
      <c r="I480" s="1">
        <f t="shared" si="289"/>
        <v>0.15145357844825499</v>
      </c>
      <c r="J480" s="1">
        <f t="shared" si="289"/>
        <v>0.87205825116285296</v>
      </c>
      <c r="K480" s="1">
        <f t="shared" si="289"/>
        <v>0.41698809432961914</v>
      </c>
    </row>
    <row r="481" spans="1:18" x14ac:dyDescent="0.35">
      <c r="A481" s="5"/>
      <c r="B481" s="5" t="s">
        <v>6</v>
      </c>
      <c r="C481" s="5" t="s">
        <v>7</v>
      </c>
      <c r="D481" t="s">
        <v>598</v>
      </c>
      <c r="E481" t="str">
        <f>E401</f>
        <v>PJ/yr.</v>
      </c>
      <c r="F481" s="1">
        <f t="shared" si="288"/>
        <v>0</v>
      </c>
      <c r="G481" s="1">
        <f t="shared" ref="G481:K481" si="290">G470-G492</f>
        <v>0</v>
      </c>
      <c r="H481" s="1">
        <f t="shared" si="290"/>
        <v>0</v>
      </c>
      <c r="I481" s="1">
        <f t="shared" si="290"/>
        <v>0</v>
      </c>
      <c r="J481" s="1">
        <f t="shared" si="290"/>
        <v>2.8194657456283028E-3</v>
      </c>
      <c r="K481" s="1">
        <f t="shared" si="290"/>
        <v>0.16294842954791555</v>
      </c>
    </row>
    <row r="482" spans="1:18" x14ac:dyDescent="0.35">
      <c r="A482" s="5"/>
      <c r="B482" s="5" t="s">
        <v>6</v>
      </c>
      <c r="C482" s="5" t="s">
        <v>7</v>
      </c>
      <c r="D482" t="s">
        <v>599</v>
      </c>
      <c r="E482" t="str">
        <f>E402</f>
        <v>PJ/yr.</v>
      </c>
      <c r="F482" s="1">
        <f t="shared" si="288"/>
        <v>0</v>
      </c>
      <c r="G482" s="1">
        <f t="shared" ref="G482:K482" si="291">G471-G493</f>
        <v>0</v>
      </c>
      <c r="H482" s="1">
        <f t="shared" si="291"/>
        <v>0</v>
      </c>
      <c r="I482" s="1">
        <f t="shared" si="291"/>
        <v>0</v>
      </c>
      <c r="J482" s="1">
        <f t="shared" si="291"/>
        <v>0</v>
      </c>
      <c r="K482" s="1">
        <f t="shared" si="291"/>
        <v>0</v>
      </c>
    </row>
    <row r="483" spans="1:18" x14ac:dyDescent="0.35">
      <c r="A483" s="5"/>
      <c r="B483" s="5" t="s">
        <v>6</v>
      </c>
      <c r="C483" s="5" t="s">
        <v>7</v>
      </c>
      <c r="D483" t="s">
        <v>600</v>
      </c>
      <c r="E483" t="str">
        <f>E427</f>
        <v>PJ/yr.</v>
      </c>
      <c r="F483" s="1">
        <f t="shared" si="288"/>
        <v>4.1481467136643614E-2</v>
      </c>
      <c r="G483" s="1">
        <f t="shared" ref="G483:K483" si="292">G472-G494</f>
        <v>5.9675559198224164E-3</v>
      </c>
      <c r="H483" s="1">
        <f t="shared" si="292"/>
        <v>1.1764699917341477E-2</v>
      </c>
      <c r="I483" s="1">
        <f t="shared" si="292"/>
        <v>1.9498729508119744E-2</v>
      </c>
      <c r="J483" s="1">
        <f t="shared" si="292"/>
        <v>5.8569083955950455E-3</v>
      </c>
      <c r="K483" s="1">
        <f t="shared" si="292"/>
        <v>0</v>
      </c>
    </row>
    <row r="484" spans="1:18" x14ac:dyDescent="0.35">
      <c r="A484" s="5"/>
      <c r="B484" s="5" t="s">
        <v>6</v>
      </c>
      <c r="C484" s="5" t="s">
        <v>7</v>
      </c>
      <c r="D484" t="s">
        <v>601</v>
      </c>
      <c r="E484" t="str">
        <f>E429</f>
        <v>PJ/yr.</v>
      </c>
      <c r="F484" s="1">
        <f t="shared" si="288"/>
        <v>0</v>
      </c>
      <c r="G484" s="1">
        <f t="shared" ref="G484:K484" si="293">G473-G495</f>
        <v>0</v>
      </c>
      <c r="H484" s="1">
        <f t="shared" si="293"/>
        <v>0</v>
      </c>
      <c r="I484" s="1">
        <f t="shared" si="293"/>
        <v>0</v>
      </c>
      <c r="J484" s="1">
        <f t="shared" si="293"/>
        <v>0</v>
      </c>
      <c r="K484" s="1">
        <f t="shared" si="293"/>
        <v>0</v>
      </c>
    </row>
    <row r="485" spans="1:18" x14ac:dyDescent="0.35">
      <c r="A485" s="5"/>
      <c r="B485" s="5" t="s">
        <v>6</v>
      </c>
      <c r="C485" s="5" t="s">
        <v>7</v>
      </c>
      <c r="D485" t="s">
        <v>602</v>
      </c>
      <c r="E485" t="str">
        <f>E431</f>
        <v>PJ/yr.</v>
      </c>
      <c r="F485" s="1">
        <f t="shared" si="288"/>
        <v>7.6033119073408942E-2</v>
      </c>
      <c r="G485" s="1">
        <f t="shared" ref="G485:K485" si="294">G474-G496</f>
        <v>0.18888243075547442</v>
      </c>
      <c r="H485" s="1">
        <f t="shared" si="294"/>
        <v>0.18663228509334356</v>
      </c>
      <c r="I485" s="1">
        <f t="shared" si="294"/>
        <v>0.74344818460420048</v>
      </c>
      <c r="J485" s="1">
        <f t="shared" si="294"/>
        <v>0.30631199361627481</v>
      </c>
      <c r="K485" s="1">
        <f t="shared" si="294"/>
        <v>0</v>
      </c>
    </row>
    <row r="486" spans="1:18" x14ac:dyDescent="0.35">
      <c r="A486" s="5"/>
      <c r="B486" s="5" t="s">
        <v>6</v>
      </c>
      <c r="C486" s="5" t="s">
        <v>7</v>
      </c>
      <c r="D486" t="s">
        <v>603</v>
      </c>
      <c r="E486" t="str">
        <f>E432</f>
        <v>PJ/yr.</v>
      </c>
      <c r="F486" s="1">
        <f t="shared" si="288"/>
        <v>0</v>
      </c>
      <c r="G486" s="1">
        <f t="shared" ref="G486:K486" si="295">G475-G497</f>
        <v>0</v>
      </c>
      <c r="H486" s="1">
        <f t="shared" si="295"/>
        <v>0</v>
      </c>
      <c r="I486" s="1">
        <f t="shared" si="295"/>
        <v>0</v>
      </c>
      <c r="J486" s="1">
        <f t="shared" si="295"/>
        <v>0</v>
      </c>
      <c r="K486" s="1">
        <f t="shared" si="295"/>
        <v>0</v>
      </c>
    </row>
    <row r="487" spans="1:18" x14ac:dyDescent="0.35">
      <c r="A487" s="5"/>
      <c r="B487" s="5" t="s">
        <v>6</v>
      </c>
      <c r="C487" s="5" t="s">
        <v>7</v>
      </c>
      <c r="D487" t="s">
        <v>604</v>
      </c>
      <c r="E487" t="str">
        <f>E469</f>
        <v>PJ/yr.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8" x14ac:dyDescent="0.35">
      <c r="A488" s="5"/>
      <c r="B488" s="5" t="s">
        <v>6</v>
      </c>
      <c r="C488" s="5" t="s">
        <v>7</v>
      </c>
      <c r="D488" t="s">
        <v>605</v>
      </c>
      <c r="E488" t="str">
        <f>E471</f>
        <v>PJ/yr.</v>
      </c>
      <c r="F488" s="1">
        <f>F477-F499</f>
        <v>0.87007990633814836</v>
      </c>
      <c r="G488" s="1">
        <f t="shared" ref="G488:K488" si="296">G477-G499</f>
        <v>0.92696623243028009</v>
      </c>
      <c r="H488" s="1">
        <f t="shared" si="296"/>
        <v>0.24580846597548983</v>
      </c>
      <c r="I488" s="1">
        <f t="shared" si="296"/>
        <v>0.26024305897336264</v>
      </c>
      <c r="J488" s="1">
        <f t="shared" si="296"/>
        <v>0.17898679206746337</v>
      </c>
      <c r="K488" s="1">
        <f t="shared" si="296"/>
        <v>0</v>
      </c>
    </row>
    <row r="489" spans="1:18" x14ac:dyDescent="0.35">
      <c r="A489" s="5"/>
      <c r="B489" s="5" t="s">
        <v>6</v>
      </c>
      <c r="C489" s="5" t="s">
        <v>7</v>
      </c>
      <c r="D489" t="s">
        <v>606</v>
      </c>
      <c r="E489" t="str">
        <f>E473</f>
        <v>PJ/yr.</v>
      </c>
      <c r="F489" s="1">
        <f>F478-F500</f>
        <v>0</v>
      </c>
      <c r="G489" s="1">
        <f t="shared" ref="G489:K489" si="297">G478-G500</f>
        <v>0</v>
      </c>
      <c r="H489" s="1">
        <f t="shared" si="297"/>
        <v>0</v>
      </c>
      <c r="I489" s="1">
        <f t="shared" si="297"/>
        <v>0</v>
      </c>
      <c r="J489" s="1">
        <f t="shared" si="297"/>
        <v>0</v>
      </c>
      <c r="K489" s="1">
        <f t="shared" si="297"/>
        <v>0</v>
      </c>
    </row>
    <row r="490" spans="1:18" x14ac:dyDescent="0.35">
      <c r="A490" s="5"/>
      <c r="B490" s="5" t="s">
        <v>6</v>
      </c>
      <c r="C490" s="5" t="s">
        <v>7</v>
      </c>
      <c r="D490" t="s">
        <v>897</v>
      </c>
      <c r="E490" t="str">
        <f>E401</f>
        <v>PJ/yr.</v>
      </c>
      <c r="F490" s="1">
        <f>SUM(F491:F500)</f>
        <v>1.6320932966767774</v>
      </c>
      <c r="G490" s="1">
        <f t="shared" ref="G490:K490" si="298">SUM(G491:G500)</f>
        <v>1.8192990418173958</v>
      </c>
      <c r="H490" s="1">
        <f t="shared" si="298"/>
        <v>1.7667775210876948</v>
      </c>
      <c r="I490" s="1">
        <f t="shared" si="298"/>
        <v>1.6725112676019456</v>
      </c>
      <c r="J490" s="1">
        <f t="shared" si="298"/>
        <v>1.5854096765462986</v>
      </c>
      <c r="K490" s="1">
        <f t="shared" si="298"/>
        <v>2.2028110600763648</v>
      </c>
      <c r="M490" s="8"/>
      <c r="N490" s="8"/>
      <c r="O490" s="8"/>
      <c r="P490" s="8"/>
      <c r="Q490" s="8"/>
      <c r="R490" s="8"/>
    </row>
    <row r="491" spans="1:18" x14ac:dyDescent="0.35">
      <c r="A491" s="5"/>
      <c r="B491" s="5" t="s">
        <v>6</v>
      </c>
      <c r="C491" s="5" t="s">
        <v>7</v>
      </c>
      <c r="D491" t="s">
        <v>658</v>
      </c>
      <c r="E491" t="str">
        <f>E403</f>
        <v>PJ/yr.</v>
      </c>
      <c r="F491" s="1">
        <f t="shared" ref="F491:F497" si="299">IFERROR(F346/F314,0)*F469</f>
        <v>2.584399905515971E-2</v>
      </c>
      <c r="G491" s="1">
        <f t="shared" ref="G491:K491" si="300">IFERROR(G346/G314,0)*G469</f>
        <v>2.9796213031155747E-3</v>
      </c>
      <c r="H491" s="1">
        <f t="shared" si="300"/>
        <v>3.5017879665669841E-3</v>
      </c>
      <c r="I491" s="1">
        <f t="shared" si="300"/>
        <v>2.6389360778417445E-3</v>
      </c>
      <c r="J491" s="1">
        <f t="shared" si="300"/>
        <v>0.11518551809017347</v>
      </c>
      <c r="K491" s="1">
        <f t="shared" si="300"/>
        <v>0.60048668644472025</v>
      </c>
    </row>
    <row r="492" spans="1:18" x14ac:dyDescent="0.35">
      <c r="A492" s="5"/>
      <c r="B492" s="5" t="s">
        <v>6</v>
      </c>
      <c r="C492" s="5" t="s">
        <v>7</v>
      </c>
      <c r="D492" t="s">
        <v>659</v>
      </c>
      <c r="E492" t="str">
        <f>E404</f>
        <v>PJ/yr.</v>
      </c>
      <c r="F492" s="1">
        <f t="shared" si="299"/>
        <v>0</v>
      </c>
      <c r="G492" s="1">
        <f t="shared" ref="G492:K492" si="301">IFERROR(G347/G315,0)*G470</f>
        <v>0</v>
      </c>
      <c r="H492" s="1">
        <f t="shared" si="301"/>
        <v>0</v>
      </c>
      <c r="I492" s="1">
        <f t="shared" si="301"/>
        <v>0</v>
      </c>
      <c r="J492" s="1">
        <f t="shared" si="301"/>
        <v>3.7240817596145397E-4</v>
      </c>
      <c r="K492" s="1">
        <f t="shared" si="301"/>
        <v>0.2346550509503324</v>
      </c>
    </row>
    <row r="493" spans="1:18" x14ac:dyDescent="0.35">
      <c r="A493" s="5"/>
      <c r="B493" s="5" t="s">
        <v>6</v>
      </c>
      <c r="C493" s="5" t="s">
        <v>7</v>
      </c>
      <c r="D493" t="s">
        <v>660</v>
      </c>
      <c r="E493" t="str">
        <f>E405</f>
        <v>PJ/yr.</v>
      </c>
      <c r="F493" s="1">
        <f t="shared" si="299"/>
        <v>0</v>
      </c>
      <c r="G493" s="1">
        <f t="shared" ref="G493:K493" si="302">IFERROR(G348/G316,0)*G471</f>
        <v>0</v>
      </c>
      <c r="H493" s="1">
        <f t="shared" si="302"/>
        <v>0</v>
      </c>
      <c r="I493" s="1">
        <f t="shared" si="302"/>
        <v>0</v>
      </c>
      <c r="J493" s="1">
        <f t="shared" si="302"/>
        <v>0</v>
      </c>
      <c r="K493" s="1">
        <f t="shared" si="302"/>
        <v>0</v>
      </c>
    </row>
    <row r="494" spans="1:18" x14ac:dyDescent="0.35">
      <c r="A494" s="5"/>
      <c r="B494" s="5" t="s">
        <v>6</v>
      </c>
      <c r="C494" s="5" t="s">
        <v>7</v>
      </c>
      <c r="D494" t="s">
        <v>661</v>
      </c>
      <c r="E494" t="str">
        <f>E433</f>
        <v>PJ/yr.</v>
      </c>
      <c r="F494" s="1">
        <f t="shared" si="299"/>
        <v>1.0731956093364488E-3</v>
      </c>
      <c r="G494" s="1">
        <f t="shared" ref="G494:K494" si="303">IFERROR(G349/G317,0)*G472</f>
        <v>1.3427133409743569E-4</v>
      </c>
      <c r="H494" s="1">
        <f t="shared" si="303"/>
        <v>5.5433714801906902E-4</v>
      </c>
      <c r="I494" s="1">
        <f t="shared" si="303"/>
        <v>3.3974701224134373E-4</v>
      </c>
      <c r="J494" s="1">
        <f t="shared" si="303"/>
        <v>7.7360775734156614E-4</v>
      </c>
      <c r="K494" s="1">
        <f t="shared" si="303"/>
        <v>0</v>
      </c>
    </row>
    <row r="495" spans="1:18" x14ac:dyDescent="0.35">
      <c r="A495" s="5"/>
      <c r="B495" s="5" t="s">
        <v>6</v>
      </c>
      <c r="C495" s="5" t="s">
        <v>7</v>
      </c>
      <c r="D495" t="s">
        <v>662</v>
      </c>
      <c r="E495" t="str">
        <f>E435</f>
        <v>PJ/yr.</v>
      </c>
      <c r="F495" s="1">
        <f t="shared" si="299"/>
        <v>0</v>
      </c>
      <c r="G495" s="1">
        <f t="shared" ref="G495:K495" si="304">IFERROR(G350/G318,0)*G473</f>
        <v>0</v>
      </c>
      <c r="H495" s="1">
        <f t="shared" si="304"/>
        <v>0</v>
      </c>
      <c r="I495" s="1">
        <f t="shared" si="304"/>
        <v>0</v>
      </c>
      <c r="J495" s="1">
        <f t="shared" si="304"/>
        <v>0</v>
      </c>
      <c r="K495" s="1">
        <f t="shared" si="304"/>
        <v>0</v>
      </c>
    </row>
    <row r="496" spans="1:18" x14ac:dyDescent="0.35">
      <c r="A496" s="5"/>
      <c r="B496" s="5" t="s">
        <v>6</v>
      </c>
      <c r="C496" s="5" t="s">
        <v>7</v>
      </c>
      <c r="D496" t="s">
        <v>663</v>
      </c>
      <c r="E496" t="str">
        <f>E437</f>
        <v>PJ/yr.</v>
      </c>
      <c r="F496" s="1">
        <f t="shared" si="299"/>
        <v>1.9671051962782526E-3</v>
      </c>
      <c r="G496" s="1">
        <f t="shared" ref="G496:K496" si="305">IFERROR(G351/G319,0)*G474</f>
        <v>4.2498966588416873E-3</v>
      </c>
      <c r="H496" s="1">
        <f t="shared" si="305"/>
        <v>8.7938671937077811E-3</v>
      </c>
      <c r="I496" s="1">
        <f t="shared" si="305"/>
        <v>1.2953884988780813E-2</v>
      </c>
      <c r="J496" s="1">
        <f t="shared" si="305"/>
        <v>4.0459115701131823E-2</v>
      </c>
      <c r="K496" s="1">
        <f t="shared" si="305"/>
        <v>0</v>
      </c>
    </row>
    <row r="497" spans="1:11" x14ac:dyDescent="0.35">
      <c r="A497" s="5"/>
      <c r="B497" s="5" t="s">
        <v>6</v>
      </c>
      <c r="C497" s="5" t="s">
        <v>7</v>
      </c>
      <c r="D497" t="s">
        <v>664</v>
      </c>
      <c r="E497" t="str">
        <f>E438</f>
        <v>PJ/yr.</v>
      </c>
      <c r="F497" s="1">
        <f t="shared" si="299"/>
        <v>0</v>
      </c>
      <c r="G497" s="1">
        <f t="shared" ref="G497:K497" si="306">IFERROR(G352/G320,0)*G475</f>
        <v>0</v>
      </c>
      <c r="H497" s="1">
        <f t="shared" si="306"/>
        <v>0</v>
      </c>
      <c r="I497" s="1">
        <f t="shared" si="306"/>
        <v>0</v>
      </c>
      <c r="J497" s="1">
        <f t="shared" si="306"/>
        <v>0</v>
      </c>
      <c r="K497" s="1">
        <f t="shared" si="306"/>
        <v>0</v>
      </c>
    </row>
    <row r="498" spans="1:11" x14ac:dyDescent="0.35">
      <c r="A498" s="5"/>
      <c r="B498" s="5" t="s">
        <v>6</v>
      </c>
      <c r="C498" s="5" t="s">
        <v>7</v>
      </c>
      <c r="D498" t="s">
        <v>665</v>
      </c>
      <c r="E498" t="str">
        <f>E461</f>
        <v>PJ/yr.</v>
      </c>
      <c r="F498" s="1">
        <f>F476</f>
        <v>1.5806985602352992</v>
      </c>
      <c r="G498" s="1">
        <f t="shared" ref="G498:K498" si="307">G476</f>
        <v>1.7910783063336644</v>
      </c>
      <c r="H498" s="1">
        <f t="shared" si="307"/>
        <v>1.7423453579679768</v>
      </c>
      <c r="I498" s="1">
        <f t="shared" si="307"/>
        <v>1.6520442091243133</v>
      </c>
      <c r="J498" s="1">
        <f t="shared" si="307"/>
        <v>1.4049776171473969</v>
      </c>
      <c r="K498" s="1">
        <f t="shared" si="307"/>
        <v>1.3676693226813119</v>
      </c>
    </row>
    <row r="499" spans="1:11" x14ac:dyDescent="0.35">
      <c r="A499" s="5"/>
      <c r="B499" s="5" t="s">
        <v>6</v>
      </c>
      <c r="C499" s="5" t="s">
        <v>7</v>
      </c>
      <c r="D499" t="s">
        <v>666</v>
      </c>
      <c r="E499" t="str">
        <f>E463</f>
        <v>PJ/yr.</v>
      </c>
      <c r="F499" s="1">
        <f>IFERROR(F354/F322,0)*F477</f>
        <v>2.2510436580703924E-2</v>
      </c>
      <c r="G499" s="1">
        <f t="shared" ref="G499:K499" si="308">IFERROR(G354/G322,0)*G477</f>
        <v>2.0856946187676681E-2</v>
      </c>
      <c r="H499" s="1">
        <f t="shared" si="308"/>
        <v>1.1582170811424052E-2</v>
      </c>
      <c r="I499" s="1">
        <f t="shared" si="308"/>
        <v>4.5344903987682896E-3</v>
      </c>
      <c r="J499" s="1">
        <f t="shared" si="308"/>
        <v>2.3641409674293481E-2</v>
      </c>
      <c r="K499" s="1">
        <f t="shared" si="308"/>
        <v>0</v>
      </c>
    </row>
    <row r="500" spans="1:11" x14ac:dyDescent="0.35">
      <c r="A500" s="5"/>
      <c r="B500" s="5" t="s">
        <v>6</v>
      </c>
      <c r="C500" s="5" t="s">
        <v>7</v>
      </c>
      <c r="D500" t="s">
        <v>667</v>
      </c>
      <c r="E500" t="str">
        <f>E467</f>
        <v>PJ/yr.</v>
      </c>
      <c r="F500" s="1">
        <f>IFERROR(F355/F323,0)*F478</f>
        <v>0</v>
      </c>
      <c r="G500" s="1">
        <f t="shared" ref="G500:K500" si="309">IFERROR(G355/G323,0)*G478</f>
        <v>0</v>
      </c>
      <c r="H500" s="1">
        <f t="shared" si="309"/>
        <v>0</v>
      </c>
      <c r="I500" s="1">
        <f t="shared" si="309"/>
        <v>0</v>
      </c>
      <c r="J500" s="1">
        <f t="shared" si="309"/>
        <v>0</v>
      </c>
      <c r="K500" s="1">
        <f t="shared" si="309"/>
        <v>0</v>
      </c>
    </row>
    <row r="501" spans="1:11" x14ac:dyDescent="0.35">
      <c r="A501" s="5"/>
      <c r="B501" s="5" t="s">
        <v>6</v>
      </c>
      <c r="C501" s="5" t="s">
        <v>7</v>
      </c>
      <c r="D501" t="s">
        <v>898</v>
      </c>
      <c r="E501" t="str">
        <f>E405</f>
        <v>PJ/yr.</v>
      </c>
      <c r="F501" s="1">
        <f>SUM(F502:F503)</f>
        <v>3.3175325814678396</v>
      </c>
      <c r="G501" s="1">
        <f t="shared" ref="G501:K501" si="310">SUM(G502:G503)</f>
        <v>3.3046659557055778</v>
      </c>
      <c r="H501" s="1">
        <f t="shared" si="310"/>
        <v>4.799494293616636</v>
      </c>
      <c r="I501" s="1">
        <f t="shared" si="310"/>
        <v>4.6781749735668869</v>
      </c>
      <c r="J501" s="1">
        <f t="shared" si="310"/>
        <v>4.707490183236672</v>
      </c>
      <c r="K501" s="1">
        <f t="shared" si="310"/>
        <v>10.630196464203049</v>
      </c>
    </row>
    <row r="502" spans="1:11" x14ac:dyDescent="0.35">
      <c r="A502" s="5"/>
      <c r="B502" s="5" t="s">
        <v>6</v>
      </c>
      <c r="C502" s="5" t="s">
        <v>7</v>
      </c>
      <c r="D502" t="s">
        <v>217</v>
      </c>
      <c r="E502" t="str">
        <f>E406</f>
        <v>PJ/yr.</v>
      </c>
      <c r="F502" s="6">
        <f>'[1]Electricity and CHPs_IN'!B$44-F361</f>
        <v>3.3175325814678396</v>
      </c>
      <c r="G502" s="6">
        <f>'[1]Electricity and CHPs_IN'!C$44-G361</f>
        <v>3.3046659557055778</v>
      </c>
      <c r="H502" s="6">
        <f>'[1]Electricity and CHPs_IN'!D$44-H361</f>
        <v>4.799494293616636</v>
      </c>
      <c r="I502" s="6">
        <f>'[1]Electricity and CHPs_IN'!E$44-I361</f>
        <v>4.6781749735668869</v>
      </c>
      <c r="J502" s="6">
        <f>'[1]Electricity and CHPs_IN'!F$44-J361</f>
        <v>2.9332199781868789</v>
      </c>
      <c r="K502" s="6">
        <f>'[1]Electricity and CHPs_IN'!G$44-K361</f>
        <v>7.69651739996681E-4</v>
      </c>
    </row>
    <row r="503" spans="1:11" x14ac:dyDescent="0.35">
      <c r="A503" s="5"/>
      <c r="B503" s="5" t="s">
        <v>6</v>
      </c>
      <c r="C503" s="5" t="s">
        <v>7</v>
      </c>
      <c r="D503" t="s">
        <v>218</v>
      </c>
      <c r="E503" t="str">
        <f>E407</f>
        <v>PJ/yr.</v>
      </c>
      <c r="F503" s="1">
        <f>'[1]Electricity and CHPs_IN'!B$45</f>
        <v>0</v>
      </c>
      <c r="G503" s="1">
        <f>'[1]Electricity and CHPs_IN'!C$45</f>
        <v>0</v>
      </c>
      <c r="H503" s="1">
        <f>'[1]Electricity and CHPs_IN'!D$45</f>
        <v>0</v>
      </c>
      <c r="I503" s="1">
        <f>'[1]Electricity and CHPs_IN'!E$45</f>
        <v>0</v>
      </c>
      <c r="J503" s="1">
        <f>'[1]Electricity and CHPs_IN'!F$45</f>
        <v>1.7742702050497929</v>
      </c>
      <c r="K503" s="1">
        <f>'[1]Electricity and CHPs_IN'!G$45</f>
        <v>10.629426812463052</v>
      </c>
    </row>
    <row r="504" spans="1:11" x14ac:dyDescent="0.35">
      <c r="A504" s="5"/>
      <c r="B504" s="5" t="s">
        <v>6</v>
      </c>
      <c r="C504" s="5" t="s">
        <v>7</v>
      </c>
      <c r="D504" t="s">
        <v>899</v>
      </c>
      <c r="E504" t="str">
        <f>E407</f>
        <v>PJ/yr.</v>
      </c>
      <c r="F504" s="1">
        <f>SUM(F505:F506)</f>
        <v>0</v>
      </c>
      <c r="G504" s="1">
        <f t="shared" ref="G504:K504" si="311">SUM(G505:G506)</f>
        <v>0</v>
      </c>
      <c r="H504" s="1">
        <f t="shared" si="311"/>
        <v>0</v>
      </c>
      <c r="I504" s="1">
        <f t="shared" si="311"/>
        <v>0</v>
      </c>
      <c r="J504" s="1">
        <f t="shared" si="311"/>
        <v>0</v>
      </c>
      <c r="K504" s="1">
        <f t="shared" si="311"/>
        <v>0</v>
      </c>
    </row>
    <row r="505" spans="1:11" x14ac:dyDescent="0.35">
      <c r="A505" s="5"/>
      <c r="B505" s="5" t="s">
        <v>6</v>
      </c>
      <c r="C505" s="5" t="s">
        <v>7</v>
      </c>
      <c r="D505" t="s">
        <v>219</v>
      </c>
      <c r="E505" t="str">
        <f>E408</f>
        <v>PJ/yr.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 x14ac:dyDescent="0.35">
      <c r="A506" s="5"/>
      <c r="B506" s="5" t="s">
        <v>6</v>
      </c>
      <c r="C506" s="5" t="s">
        <v>7</v>
      </c>
      <c r="D506" t="s">
        <v>220</v>
      </c>
      <c r="E506" t="str">
        <f>E409</f>
        <v>PJ/yr.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 x14ac:dyDescent="0.35">
      <c r="A507" s="5"/>
      <c r="B507" s="5" t="s">
        <v>6</v>
      </c>
      <c r="C507" s="5" t="s">
        <v>7</v>
      </c>
      <c r="D507" t="s">
        <v>900</v>
      </c>
      <c r="E507" t="str">
        <f>E410</f>
        <v>PJ/yr.</v>
      </c>
      <c r="F507" s="1">
        <f>SUM(F508:F509)</f>
        <v>3.3175325814678396</v>
      </c>
      <c r="G507" s="1">
        <f t="shared" ref="G507:K507" si="312">SUM(G508:G509)</f>
        <v>3.3046659557055778</v>
      </c>
      <c r="H507" s="1">
        <f t="shared" si="312"/>
        <v>4.799494293616636</v>
      </c>
      <c r="I507" s="1">
        <f t="shared" si="312"/>
        <v>4.6781749735668869</v>
      </c>
      <c r="J507" s="1">
        <f t="shared" si="312"/>
        <v>4.707490183236672</v>
      </c>
      <c r="K507" s="1">
        <f t="shared" si="312"/>
        <v>10.630196464203049</v>
      </c>
    </row>
    <row r="508" spans="1:11" x14ac:dyDescent="0.35">
      <c r="A508" s="5"/>
      <c r="B508" s="5" t="s">
        <v>6</v>
      </c>
      <c r="C508" s="5" t="s">
        <v>7</v>
      </c>
      <c r="D508" t="s">
        <v>221</v>
      </c>
      <c r="E508" t="str">
        <f>E411</f>
        <v>PJ/yr.</v>
      </c>
      <c r="F508" s="1">
        <f>F502</f>
        <v>3.3175325814678396</v>
      </c>
      <c r="G508" s="1">
        <f t="shared" ref="G508:K508" si="313">G502</f>
        <v>3.3046659557055778</v>
      </c>
      <c r="H508" s="1">
        <f t="shared" si="313"/>
        <v>4.799494293616636</v>
      </c>
      <c r="I508" s="1">
        <f t="shared" si="313"/>
        <v>4.6781749735668869</v>
      </c>
      <c r="J508" s="1">
        <f t="shared" si="313"/>
        <v>2.9332199781868789</v>
      </c>
      <c r="K508" s="1">
        <f t="shared" si="313"/>
        <v>7.69651739996681E-4</v>
      </c>
    </row>
    <row r="509" spans="1:11" x14ac:dyDescent="0.35">
      <c r="A509" s="5"/>
      <c r="B509" s="5" t="s">
        <v>6</v>
      </c>
      <c r="C509" s="5" t="s">
        <v>7</v>
      </c>
      <c r="D509" t="s">
        <v>222</v>
      </c>
      <c r="E509" t="str">
        <f>E415</f>
        <v>PJ/yr.</v>
      </c>
      <c r="F509" s="1">
        <f>F503</f>
        <v>0</v>
      </c>
      <c r="G509" s="1">
        <f t="shared" ref="G509:K509" si="314">G503</f>
        <v>0</v>
      </c>
      <c r="H509" s="1">
        <f t="shared" si="314"/>
        <v>0</v>
      </c>
      <c r="I509" s="1">
        <f t="shared" si="314"/>
        <v>0</v>
      </c>
      <c r="J509" s="1">
        <f t="shared" si="314"/>
        <v>1.7742702050497929</v>
      </c>
      <c r="K509" s="1">
        <f t="shared" si="314"/>
        <v>10.629426812463052</v>
      </c>
    </row>
    <row r="510" spans="1:11" x14ac:dyDescent="0.35">
      <c r="A510" s="5"/>
      <c r="B510" s="5" t="s">
        <v>6</v>
      </c>
      <c r="C510" s="5" t="s">
        <v>7</v>
      </c>
      <c r="D510" t="s">
        <v>901</v>
      </c>
      <c r="E510" t="str">
        <f>E416</f>
        <v>PJ/yr.</v>
      </c>
      <c r="F510" s="1">
        <f>SUM(F511:F515)</f>
        <v>0.69188617664461571</v>
      </c>
      <c r="G510" s="1">
        <f t="shared" ref="G510:K510" si="315">SUM(G511:G515)</f>
        <v>1.7947290727335399</v>
      </c>
      <c r="H510" s="1">
        <f t="shared" si="315"/>
        <v>3.1372308748518951</v>
      </c>
      <c r="I510" s="1">
        <f t="shared" si="315"/>
        <v>3.729990567504049</v>
      </c>
      <c r="J510" s="1">
        <f t="shared" si="315"/>
        <v>6.563834382518424</v>
      </c>
      <c r="K510" s="1">
        <f t="shared" si="315"/>
        <v>8.5716068815500126</v>
      </c>
    </row>
    <row r="511" spans="1:11" x14ac:dyDescent="0.35">
      <c r="A511" s="5"/>
      <c r="B511" s="5" t="s">
        <v>6</v>
      </c>
      <c r="C511" s="5" t="s">
        <v>7</v>
      </c>
      <c r="D511" t="s">
        <v>223</v>
      </c>
      <c r="E511" t="str">
        <f>E417</f>
        <v>PJ/yr.</v>
      </c>
      <c r="F511" s="6">
        <f>'[1]Electricity and CHPs_IN'!B$42-F380</f>
        <v>0.69188617664461571</v>
      </c>
      <c r="G511" s="6">
        <f>'[1]Electricity and CHPs_IN'!C$42-G380</f>
        <v>1.7947290727335399</v>
      </c>
      <c r="H511" s="6">
        <f>'[1]Electricity and CHPs_IN'!D$42-H380</f>
        <v>3.1372308748518951</v>
      </c>
      <c r="I511" s="6">
        <f>'[1]Electricity and CHPs_IN'!E$42-I380</f>
        <v>3.7209394021237472</v>
      </c>
      <c r="J511" s="6">
        <f>'[1]Electricity and CHPs_IN'!F$42-J380</f>
        <v>3.3192067136694883</v>
      </c>
      <c r="K511" s="6">
        <f>'[1]Electricity and CHPs_IN'!G$42-K380</f>
        <v>3.1691895022131256</v>
      </c>
    </row>
    <row r="512" spans="1:11" x14ac:dyDescent="0.35">
      <c r="A512" s="5"/>
      <c r="B512" s="5" t="s">
        <v>6</v>
      </c>
      <c r="C512" s="5" t="s">
        <v>7</v>
      </c>
      <c r="D512" t="s">
        <v>224</v>
      </c>
      <c r="E512" t="str">
        <f>E418</f>
        <v>PJ/yr.</v>
      </c>
      <c r="F512" s="1">
        <f>'[1]Electricity and CHPs_IN'!B$43-F381</f>
        <v>0</v>
      </c>
      <c r="G512" s="1">
        <f>'[1]Electricity and CHPs_IN'!C$43-G381</f>
        <v>0</v>
      </c>
      <c r="H512" s="1">
        <f>'[1]Electricity and CHPs_IN'!D$43-H381</f>
        <v>0</v>
      </c>
      <c r="I512" s="1">
        <f>'[1]Electricity and CHPs_IN'!E$43-I381</f>
        <v>0</v>
      </c>
      <c r="J512" s="1">
        <f>'[1]Electricity and CHPs_IN'!F$43-J381</f>
        <v>2.2742637059158586</v>
      </c>
      <c r="K512" s="1">
        <f>'[1]Electricity and CHPs_IN'!G$43-K381</f>
        <v>4.8006000167873975</v>
      </c>
    </row>
    <row r="513" spans="1:11" x14ac:dyDescent="0.35">
      <c r="A513" s="5"/>
      <c r="B513" s="5" t="s">
        <v>6</v>
      </c>
      <c r="C513" s="5" t="s">
        <v>7</v>
      </c>
      <c r="D513" t="s">
        <v>225</v>
      </c>
      <c r="E513" t="str">
        <f>E440</f>
        <v>PJ/yr.</v>
      </c>
      <c r="F513" s="1">
        <f>'[1]Electricity and CHPs_IN'!B$50-F382</f>
        <v>0</v>
      </c>
      <c r="G513" s="1">
        <f>'[1]Electricity and CHPs_IN'!C$50-G382</f>
        <v>0</v>
      </c>
      <c r="H513" s="1">
        <f>'[1]Electricity and CHPs_IN'!D$50-H382</f>
        <v>0</v>
      </c>
      <c r="I513" s="1">
        <f>'[1]Electricity and CHPs_IN'!E$50-I382</f>
        <v>2.221760612572639E-3</v>
      </c>
      <c r="J513" s="1">
        <f>'[1]Electricity and CHPs_IN'!F$50-J382</f>
        <v>5.7114097119866257E-3</v>
      </c>
      <c r="K513" s="1">
        <f>'[1]Electricity and CHPs_IN'!G$50-K382</f>
        <v>2.3482638644693188E-3</v>
      </c>
    </row>
    <row r="514" spans="1:11" x14ac:dyDescent="0.35">
      <c r="A514" s="5"/>
      <c r="B514" s="5" t="s">
        <v>6</v>
      </c>
      <c r="C514" s="5" t="s">
        <v>7</v>
      </c>
      <c r="D514" t="s">
        <v>226</v>
      </c>
      <c r="E514" t="str">
        <f>E444</f>
        <v>PJ/yr.</v>
      </c>
      <c r="F514" s="1">
        <f>'[1]Electricity and CHPs_IN'!B$53-F383</f>
        <v>0</v>
      </c>
      <c r="G514" s="1">
        <f>'[1]Electricity and CHPs_IN'!C$53-G383</f>
        <v>0</v>
      </c>
      <c r="H514" s="1">
        <f>'[1]Electricity and CHPs_IN'!D$53-H383</f>
        <v>0</v>
      </c>
      <c r="I514" s="1">
        <f>'[1]Electricity and CHPs_IN'!E$53-I383</f>
        <v>6.1149034482430586E-3</v>
      </c>
      <c r="J514" s="1">
        <f>'[1]Electricity and CHPs_IN'!F$53-J383</f>
        <v>0.96263287115878182</v>
      </c>
      <c r="K514" s="1">
        <f>'[1]Electricity and CHPs_IN'!G$53-K383</f>
        <v>0.59901698925390146</v>
      </c>
    </row>
    <row r="515" spans="1:11" x14ac:dyDescent="0.35">
      <c r="A515" s="5"/>
      <c r="B515" s="5" t="s">
        <v>6</v>
      </c>
      <c r="C515" s="5" t="s">
        <v>7</v>
      </c>
      <c r="D515" t="s">
        <v>238</v>
      </c>
      <c r="E515" t="str">
        <f>E469</f>
        <v>PJ/yr.</v>
      </c>
      <c r="F515" s="1">
        <f>'[1]Electricity and CHPs_IN'!B$56-F384</f>
        <v>0</v>
      </c>
      <c r="G515" s="1">
        <f>'[1]Electricity and CHPs_IN'!C$56-G384</f>
        <v>0</v>
      </c>
      <c r="H515" s="1">
        <f>'[1]Electricity and CHPs_IN'!D$56-H384</f>
        <v>0</v>
      </c>
      <c r="I515" s="1">
        <f>'[1]Electricity and CHPs_IN'!E$56-I384</f>
        <v>7.1450131948620895E-4</v>
      </c>
      <c r="J515" s="1">
        <f>'[1]Electricity and CHPs_IN'!F$56-J384</f>
        <v>2.0196820623082411E-3</v>
      </c>
      <c r="K515" s="1">
        <f>'[1]Electricity and CHPs_IN'!G$56-K384</f>
        <v>4.521094311200121E-4</v>
      </c>
    </row>
    <row r="516" spans="1:11" x14ac:dyDescent="0.35">
      <c r="A516" s="5"/>
      <c r="B516" s="5" t="s">
        <v>6</v>
      </c>
      <c r="C516" s="5" t="s">
        <v>7</v>
      </c>
      <c r="D516" t="s">
        <v>902</v>
      </c>
      <c r="E516" t="str">
        <f>E423</f>
        <v>PJ/yr.</v>
      </c>
      <c r="F516" s="1">
        <f>SUM(F517:F518)</f>
        <v>0</v>
      </c>
      <c r="G516" s="1">
        <f t="shared" ref="G516:K516" si="316">SUM(G517:G518)</f>
        <v>0</v>
      </c>
      <c r="H516" s="1">
        <f t="shared" si="316"/>
        <v>0</v>
      </c>
      <c r="I516" s="1">
        <f t="shared" si="316"/>
        <v>3.0283266319328104E-3</v>
      </c>
      <c r="J516" s="1">
        <f t="shared" si="316"/>
        <v>0.30117800179694898</v>
      </c>
      <c r="K516" s="1">
        <f t="shared" si="316"/>
        <v>0.22822208740158789</v>
      </c>
    </row>
    <row r="517" spans="1:11" x14ac:dyDescent="0.35">
      <c r="A517" s="5"/>
      <c r="B517" s="5" t="s">
        <v>6</v>
      </c>
      <c r="C517" s="5" t="s">
        <v>7</v>
      </c>
      <c r="D517" t="s">
        <v>227</v>
      </c>
      <c r="E517" t="str">
        <f>E424</f>
        <v>PJ/yr.</v>
      </c>
      <c r="F517" s="1">
        <f>'[1]Electricity and CHPs_IN'!B$46-F397</f>
        <v>0</v>
      </c>
      <c r="G517" s="1">
        <f>'[1]Electricity and CHPs_IN'!C$46-G397</f>
        <v>0</v>
      </c>
      <c r="H517" s="1">
        <f>'[1]Electricity and CHPs_IN'!D$46-H397</f>
        <v>0</v>
      </c>
      <c r="I517" s="1">
        <f>'[1]Electricity and CHPs_IN'!E$46-I397</f>
        <v>2.5712912131537957E-3</v>
      </c>
      <c r="J517" s="1">
        <f>'[1]Electricity and CHPs_IN'!F$46-J397</f>
        <v>0.28210121876863609</v>
      </c>
      <c r="K517" s="1">
        <f>'[1]Electricity and CHPs_IN'!G$46-K397</f>
        <v>0.21729684502144347</v>
      </c>
    </row>
    <row r="518" spans="1:11" x14ac:dyDescent="0.35">
      <c r="A518" s="5"/>
      <c r="B518" s="5" t="s">
        <v>6</v>
      </c>
      <c r="C518" s="5" t="s">
        <v>7</v>
      </c>
      <c r="D518" t="s">
        <v>239</v>
      </c>
      <c r="E518" t="str">
        <f>E471</f>
        <v>PJ/yr.</v>
      </c>
      <c r="F518" s="1">
        <f>'[1]Electricity and CHPs_IN'!B$57-F398</f>
        <v>0</v>
      </c>
      <c r="G518" s="1">
        <f>'[1]Electricity and CHPs_IN'!C$57-G398</f>
        <v>0</v>
      </c>
      <c r="H518" s="1">
        <f>'[1]Electricity and CHPs_IN'!D$57-H398</f>
        <v>0</v>
      </c>
      <c r="I518" s="1">
        <f>'[1]Electricity and CHPs_IN'!E$57-I398</f>
        <v>4.5703541877901456E-4</v>
      </c>
      <c r="J518" s="1">
        <f>'[1]Electricity and CHPs_IN'!F$57-J398</f>
        <v>1.907678302831288E-2</v>
      </c>
      <c r="K518" s="1">
        <f>'[1]Electricity and CHPs_IN'!G$57-K398</f>
        <v>1.0925242380144425E-2</v>
      </c>
    </row>
    <row r="519" spans="1:11" x14ac:dyDescent="0.35">
      <c r="A519" s="5"/>
      <c r="B519" s="9" t="s">
        <v>6</v>
      </c>
      <c r="C519" s="9" t="s">
        <v>7</v>
      </c>
      <c r="D519" s="2" t="s">
        <v>241</v>
      </c>
      <c r="E519" s="5" t="s">
        <v>240</v>
      </c>
      <c r="F519" s="12" t="s">
        <v>292</v>
      </c>
      <c r="G519" s="12" t="s">
        <v>292</v>
      </c>
      <c r="H519" s="12" t="s">
        <v>292</v>
      </c>
      <c r="I519" s="12" t="s">
        <v>292</v>
      </c>
      <c r="J519" s="12" t="s">
        <v>292</v>
      </c>
      <c r="K519" s="12" t="s">
        <v>292</v>
      </c>
    </row>
    <row r="520" spans="1:11" x14ac:dyDescent="0.35">
      <c r="A520" s="5"/>
      <c r="B520" s="5" t="s">
        <v>6</v>
      </c>
      <c r="C520" s="5" t="s">
        <v>7</v>
      </c>
      <c r="D520" t="s">
        <v>242</v>
      </c>
      <c r="E520" s="5" t="s">
        <v>240</v>
      </c>
      <c r="F520" s="13">
        <f t="shared" ref="F520:K520" si="317">IFERROR(F63/F291,"-")</f>
        <v>0.3297891837935587</v>
      </c>
      <c r="G520" s="13">
        <f t="shared" si="317"/>
        <v>0.32672709051133442</v>
      </c>
      <c r="H520" s="13">
        <f t="shared" si="317"/>
        <v>0.32558768053195752</v>
      </c>
      <c r="I520" s="13">
        <f t="shared" si="317"/>
        <v>0.33003145231716702</v>
      </c>
      <c r="J520" s="13">
        <f t="shared" si="317"/>
        <v>0.33170584005147569</v>
      </c>
      <c r="K520" s="13" t="str">
        <f t="shared" si="317"/>
        <v>-</v>
      </c>
    </row>
    <row r="521" spans="1:11" x14ac:dyDescent="0.35">
      <c r="A521" s="5"/>
      <c r="B521" s="5" t="s">
        <v>6</v>
      </c>
      <c r="C521" s="5" t="s">
        <v>7</v>
      </c>
      <c r="D521" t="s">
        <v>243</v>
      </c>
      <c r="E521" s="5" t="s">
        <v>240</v>
      </c>
      <c r="F521" s="13">
        <f t="shared" ref="F521:K523" si="318">IFERROR(F65/F293,"-")</f>
        <v>1</v>
      </c>
      <c r="G521" s="13">
        <f t="shared" si="318"/>
        <v>1</v>
      </c>
      <c r="H521" s="13">
        <f t="shared" si="318"/>
        <v>1</v>
      </c>
      <c r="I521" s="13">
        <f t="shared" si="318"/>
        <v>1</v>
      </c>
      <c r="J521" s="13">
        <f t="shared" si="318"/>
        <v>1</v>
      </c>
      <c r="K521" s="13">
        <f t="shared" si="318"/>
        <v>1</v>
      </c>
    </row>
    <row r="522" spans="1:11" x14ac:dyDescent="0.35">
      <c r="A522" s="5"/>
      <c r="B522" s="5" t="s">
        <v>6</v>
      </c>
      <c r="C522" s="5" t="s">
        <v>7</v>
      </c>
      <c r="D522" t="s">
        <v>244</v>
      </c>
      <c r="E522" s="5" t="s">
        <v>240</v>
      </c>
      <c r="F522" s="13">
        <f t="shared" si="318"/>
        <v>1</v>
      </c>
      <c r="G522" s="13">
        <f t="shared" si="318"/>
        <v>1</v>
      </c>
      <c r="H522" s="13">
        <f t="shared" si="318"/>
        <v>1</v>
      </c>
      <c r="I522" s="13">
        <f t="shared" si="318"/>
        <v>1</v>
      </c>
      <c r="J522" s="13">
        <f t="shared" si="318"/>
        <v>1</v>
      </c>
      <c r="K522" s="13">
        <f t="shared" si="318"/>
        <v>1</v>
      </c>
    </row>
    <row r="523" spans="1:11" x14ac:dyDescent="0.35">
      <c r="A523" s="5"/>
      <c r="B523" s="5" t="s">
        <v>6</v>
      </c>
      <c r="C523" s="5" t="s">
        <v>7</v>
      </c>
      <c r="D523" t="s">
        <v>245</v>
      </c>
      <c r="E523" s="5" t="s">
        <v>240</v>
      </c>
      <c r="F523" s="13">
        <f t="shared" si="318"/>
        <v>0.79999989987063747</v>
      </c>
      <c r="G523" s="13">
        <f t="shared" si="318"/>
        <v>0.79999985621145109</v>
      </c>
      <c r="H523" s="13">
        <f t="shared" si="318"/>
        <v>0.79999996520048233</v>
      </c>
      <c r="I523" s="13">
        <f t="shared" si="318"/>
        <v>0.80000007583157917</v>
      </c>
      <c r="J523" s="13">
        <f t="shared" si="318"/>
        <v>0.80000009360335367</v>
      </c>
      <c r="K523" s="13">
        <f t="shared" si="318"/>
        <v>0.80000008625903984</v>
      </c>
    </row>
    <row r="524" spans="1:11" x14ac:dyDescent="0.35">
      <c r="A524" s="5"/>
      <c r="B524" s="5" t="s">
        <v>6</v>
      </c>
      <c r="C524" s="5" t="s">
        <v>7</v>
      </c>
      <c r="D524" t="s">
        <v>246</v>
      </c>
      <c r="E524" s="5" t="s">
        <v>240</v>
      </c>
      <c r="F524" s="13">
        <f>IFERROR(F69/F297,"-")</f>
        <v>0.33867410855858426</v>
      </c>
      <c r="G524" s="13">
        <f t="shared" ref="G524:K524" si="319">IFERROR(G69/G297,"-")</f>
        <v>3.7954538415293851E-2</v>
      </c>
      <c r="H524" s="13">
        <f t="shared" si="319"/>
        <v>0.2851652591458424</v>
      </c>
      <c r="I524" s="13">
        <f t="shared" si="319"/>
        <v>0.27392046566360051</v>
      </c>
      <c r="J524" s="13">
        <f t="shared" si="319"/>
        <v>0.34996006422317005</v>
      </c>
      <c r="K524" s="13">
        <f t="shared" si="319"/>
        <v>0.28431273578693661</v>
      </c>
    </row>
    <row r="525" spans="1:11" x14ac:dyDescent="0.35">
      <c r="A525" s="5"/>
      <c r="B525" s="5" t="s">
        <v>6</v>
      </c>
      <c r="C525" s="5" t="s">
        <v>7</v>
      </c>
      <c r="D525" t="s">
        <v>247</v>
      </c>
      <c r="E525" s="5" t="s">
        <v>240</v>
      </c>
      <c r="F525" s="13">
        <f>IFERROR(F70/(F298+F411),"-")</f>
        <v>9.1817995419195039E-2</v>
      </c>
      <c r="G525" s="13">
        <f t="shared" ref="G525:K525" si="320">IFERROR(G70/(G298+G411),"-")</f>
        <v>2.1726449681588433E-2</v>
      </c>
      <c r="H525" s="13">
        <f t="shared" si="320"/>
        <v>9.4849841847136088E-2</v>
      </c>
      <c r="I525" s="13">
        <f t="shared" si="320"/>
        <v>9.9762963956689099E-2</v>
      </c>
      <c r="J525" s="13">
        <f t="shared" si="320"/>
        <v>9.9497104678173021E-2</v>
      </c>
      <c r="K525" s="13">
        <f t="shared" si="320"/>
        <v>8.9382534296860369E-2</v>
      </c>
    </row>
    <row r="526" spans="1:11" x14ac:dyDescent="0.35">
      <c r="A526" s="5"/>
      <c r="B526" s="5" t="s">
        <v>6</v>
      </c>
      <c r="C526" s="5" t="s">
        <v>7</v>
      </c>
      <c r="D526" t="s">
        <v>248</v>
      </c>
      <c r="E526" s="5" t="s">
        <v>240</v>
      </c>
      <c r="F526" s="13">
        <f>IFERROR(F71/(F299+F463),"-")</f>
        <v>0.24012969721650976</v>
      </c>
      <c r="G526" s="13">
        <f t="shared" ref="G526:K526" si="321">IFERROR(G71/(G299+G463),"-")</f>
        <v>0.24662966029713887</v>
      </c>
      <c r="H526" s="13">
        <f t="shared" si="321"/>
        <v>0.24753304005808124</v>
      </c>
      <c r="I526" s="13">
        <f t="shared" si="321"/>
        <v>0.26338510402063814</v>
      </c>
      <c r="J526" s="13" t="str">
        <f t="shared" si="321"/>
        <v>-</v>
      </c>
      <c r="K526" s="13" t="str">
        <f t="shared" si="321"/>
        <v>-</v>
      </c>
    </row>
    <row r="527" spans="1:11" x14ac:dyDescent="0.35">
      <c r="A527" s="5"/>
      <c r="B527" s="5" t="s">
        <v>6</v>
      </c>
      <c r="C527" s="5" t="s">
        <v>7</v>
      </c>
      <c r="D527" t="s">
        <v>249</v>
      </c>
      <c r="E527" s="5" t="s">
        <v>240</v>
      </c>
      <c r="F527" s="13" t="str">
        <f>IFERROR(F81/F309,"-")</f>
        <v>-</v>
      </c>
      <c r="G527" s="13" t="str">
        <f t="shared" ref="G527:K527" si="322">IFERROR(G81/G309,"-")</f>
        <v>-</v>
      </c>
      <c r="H527" s="13" t="str">
        <f t="shared" si="322"/>
        <v>-</v>
      </c>
      <c r="I527" s="13" t="str">
        <f t="shared" si="322"/>
        <v>-</v>
      </c>
      <c r="J527" s="13">
        <f t="shared" si="322"/>
        <v>0.45509384946127324</v>
      </c>
      <c r="K527" s="13">
        <f t="shared" si="322"/>
        <v>0.61986253530509972</v>
      </c>
    </row>
    <row r="528" spans="1:11" x14ac:dyDescent="0.35">
      <c r="A528" s="5"/>
      <c r="B528" s="5" t="s">
        <v>6</v>
      </c>
      <c r="C528" s="5" t="s">
        <v>7</v>
      </c>
      <c r="D528" t="s">
        <v>250</v>
      </c>
      <c r="E528" s="5" t="s">
        <v>240</v>
      </c>
      <c r="F528" s="13" t="str">
        <f>IFERROR(F82/F310,"-")</f>
        <v>-</v>
      </c>
      <c r="G528" s="13" t="str">
        <f t="shared" ref="G528:K528" si="323">IFERROR(G82/G310,"-")</f>
        <v>-</v>
      </c>
      <c r="H528" s="13" t="str">
        <f t="shared" si="323"/>
        <v>-</v>
      </c>
      <c r="I528" s="13" t="str">
        <f t="shared" si="323"/>
        <v>-</v>
      </c>
      <c r="J528" s="13">
        <f t="shared" si="323"/>
        <v>0.19384294705229332</v>
      </c>
      <c r="K528" s="13">
        <f t="shared" si="323"/>
        <v>0.41830589465237233</v>
      </c>
    </row>
    <row r="529" spans="1:11" x14ac:dyDescent="0.35">
      <c r="A529" s="5"/>
      <c r="B529" s="5" t="s">
        <v>6</v>
      </c>
      <c r="C529" s="5" t="s">
        <v>7</v>
      </c>
      <c r="D529" t="s">
        <v>251</v>
      </c>
      <c r="E529" s="5" t="s">
        <v>240</v>
      </c>
      <c r="F529" s="13" t="str">
        <f>IFERROR(F83/F311,"-")</f>
        <v>-</v>
      </c>
      <c r="G529" s="13" t="str">
        <f t="shared" ref="G529:K529" si="324">IFERROR(G83/G311,"-")</f>
        <v>-</v>
      </c>
      <c r="H529" s="13" t="str">
        <f t="shared" si="324"/>
        <v>-</v>
      </c>
      <c r="I529" s="13" t="str">
        <f t="shared" si="324"/>
        <v>-</v>
      </c>
      <c r="J529" s="13" t="str">
        <f t="shared" si="324"/>
        <v>-</v>
      </c>
      <c r="K529" s="13" t="str">
        <f t="shared" si="324"/>
        <v>-</v>
      </c>
    </row>
    <row r="530" spans="1:11" x14ac:dyDescent="0.35">
      <c r="A530" s="5"/>
      <c r="B530" s="5" t="s">
        <v>6</v>
      </c>
      <c r="C530" s="5" t="s">
        <v>7</v>
      </c>
      <c r="D530" t="s">
        <v>252</v>
      </c>
      <c r="E530" s="5" t="s">
        <v>240</v>
      </c>
      <c r="F530" s="13">
        <f>IFERROR(F84/SUM(F312,F417),"-")</f>
        <v>0.26291578564149082</v>
      </c>
      <c r="G530" s="13">
        <f t="shared" ref="G530:K530" si="325">IFERROR(G84/SUM(G312,G417),"-")</f>
        <v>0.17017405063230101</v>
      </c>
      <c r="H530" s="13">
        <f t="shared" si="325"/>
        <v>0.15578627386494448</v>
      </c>
      <c r="I530" s="13" t="str">
        <f t="shared" si="325"/>
        <v>-</v>
      </c>
      <c r="J530" s="13" t="str">
        <f t="shared" si="325"/>
        <v>-</v>
      </c>
      <c r="K530" s="13" t="str">
        <f t="shared" si="325"/>
        <v>-</v>
      </c>
    </row>
    <row r="531" spans="1:11" x14ac:dyDescent="0.35">
      <c r="A531" s="5"/>
      <c r="B531" s="5" t="s">
        <v>6</v>
      </c>
      <c r="C531" s="5" t="s">
        <v>7</v>
      </c>
      <c r="D531" t="s">
        <v>253</v>
      </c>
      <c r="E531" s="5" t="s">
        <v>240</v>
      </c>
      <c r="F531" s="13" t="str">
        <f>IFERROR(F85/SUM(F313,F418),"-")</f>
        <v>-</v>
      </c>
      <c r="G531" s="13" t="str">
        <f t="shared" ref="G531:K531" si="326">IFERROR(G85/SUM(G313,G418),"-")</f>
        <v>-</v>
      </c>
      <c r="H531" s="13" t="str">
        <f t="shared" si="326"/>
        <v>-</v>
      </c>
      <c r="I531" s="13" t="str">
        <f t="shared" si="326"/>
        <v>-</v>
      </c>
      <c r="J531" s="13" t="str">
        <f t="shared" si="326"/>
        <v>-</v>
      </c>
      <c r="K531" s="13" t="str">
        <f t="shared" si="326"/>
        <v>-</v>
      </c>
    </row>
    <row r="532" spans="1:11" x14ac:dyDescent="0.35">
      <c r="A532" s="5"/>
      <c r="B532" s="5" t="s">
        <v>6</v>
      </c>
      <c r="C532" s="5" t="s">
        <v>7</v>
      </c>
      <c r="D532" t="s">
        <v>254</v>
      </c>
      <c r="E532" s="5" t="s">
        <v>240</v>
      </c>
      <c r="F532" s="13">
        <f>IFERROR(F86/SUM(F314,F469),"-'")</f>
        <v>0.34929729194673143</v>
      </c>
      <c r="G532" s="13">
        <f t="shared" ref="G532:K532" si="327">IFERROR(G86/SUM(G314,G469),"-'")</f>
        <v>0.35181633168132032</v>
      </c>
      <c r="H532" s="13">
        <f t="shared" si="327"/>
        <v>0.35161322500961062</v>
      </c>
      <c r="I532" s="13">
        <f t="shared" si="327"/>
        <v>0.35992636490727542</v>
      </c>
      <c r="J532" s="13">
        <f t="shared" si="327"/>
        <v>0.35798611262320823</v>
      </c>
      <c r="K532" s="13">
        <f t="shared" si="327"/>
        <v>0.21871065495379483</v>
      </c>
    </row>
    <row r="533" spans="1:11" x14ac:dyDescent="0.35">
      <c r="A533" s="5"/>
      <c r="B533" s="5" t="s">
        <v>6</v>
      </c>
      <c r="C533" s="5" t="s">
        <v>7</v>
      </c>
      <c r="D533" t="s">
        <v>255</v>
      </c>
      <c r="E533" s="5" t="s">
        <v>240</v>
      </c>
      <c r="F533" s="13" t="str">
        <f t="shared" ref="F533:F541" si="328">IFERROR(F87/SUM(F315,F470),"-")</f>
        <v>-</v>
      </c>
      <c r="G533" s="13" t="str">
        <f t="shared" ref="G533:K533" si="329">IFERROR(G87/SUM(G315,G470),"-")</f>
        <v>-</v>
      </c>
      <c r="H533" s="13" t="str">
        <f t="shared" si="329"/>
        <v>-</v>
      </c>
      <c r="I533" s="13" t="str">
        <f t="shared" si="329"/>
        <v>-</v>
      </c>
      <c r="J533" s="13">
        <f t="shared" si="329"/>
        <v>0.30013340014486178</v>
      </c>
      <c r="K533" s="13">
        <f t="shared" si="329"/>
        <v>0.32363596330061206</v>
      </c>
    </row>
    <row r="534" spans="1:11" x14ac:dyDescent="0.35">
      <c r="A534" s="5"/>
      <c r="B534" s="5" t="s">
        <v>6</v>
      </c>
      <c r="C534" s="5" t="s">
        <v>7</v>
      </c>
      <c r="D534" t="s">
        <v>256</v>
      </c>
      <c r="E534" s="5" t="s">
        <v>240</v>
      </c>
      <c r="F534" s="13" t="str">
        <f t="shared" si="328"/>
        <v>-</v>
      </c>
      <c r="G534" s="13" t="str">
        <f t="shared" ref="G534:K534" si="330">IFERROR(G88/SUM(G316,G471),"-")</f>
        <v>-</v>
      </c>
      <c r="H534" s="13" t="str">
        <f t="shared" si="330"/>
        <v>-</v>
      </c>
      <c r="I534" s="13" t="str">
        <f t="shared" si="330"/>
        <v>-</v>
      </c>
      <c r="J534" s="13" t="str">
        <f t="shared" si="330"/>
        <v>-</v>
      </c>
      <c r="K534" s="13" t="str">
        <f t="shared" si="330"/>
        <v>-</v>
      </c>
    </row>
    <row r="535" spans="1:11" x14ac:dyDescent="0.35">
      <c r="A535" s="5"/>
      <c r="B535" s="5" t="s">
        <v>6</v>
      </c>
      <c r="C535" s="5" t="s">
        <v>7</v>
      </c>
      <c r="D535" t="s">
        <v>257</v>
      </c>
      <c r="E535" s="5" t="s">
        <v>240</v>
      </c>
      <c r="F535" s="13">
        <f t="shared" si="328"/>
        <v>0.23138887307227859</v>
      </c>
      <c r="G535" s="13">
        <f t="shared" ref="G535:K535" si="331">IFERROR(G89/SUM(G317,G472),"-")</f>
        <v>0.26865909042731217</v>
      </c>
      <c r="H535" s="13">
        <f t="shared" si="331"/>
        <v>0.22457245765377312</v>
      </c>
      <c r="I535" s="13">
        <f t="shared" si="331"/>
        <v>0.26956881782904701</v>
      </c>
      <c r="J535" s="13">
        <f t="shared" si="331"/>
        <v>0.25222787559192889</v>
      </c>
      <c r="K535" s="13" t="str">
        <f t="shared" si="331"/>
        <v>-</v>
      </c>
    </row>
    <row r="536" spans="1:11" x14ac:dyDescent="0.35">
      <c r="A536" s="5"/>
      <c r="B536" s="5" t="s">
        <v>6</v>
      </c>
      <c r="C536" s="5" t="s">
        <v>7</v>
      </c>
      <c r="D536" t="s">
        <v>258</v>
      </c>
      <c r="E536" s="5" t="s">
        <v>240</v>
      </c>
      <c r="F536" s="13" t="str">
        <f t="shared" si="328"/>
        <v>-</v>
      </c>
      <c r="G536" s="13" t="str">
        <f t="shared" ref="G536:K536" si="332">IFERROR(G90/SUM(G318,G473),"-")</f>
        <v>-</v>
      </c>
      <c r="H536" s="13" t="str">
        <f t="shared" si="332"/>
        <v>-</v>
      </c>
      <c r="I536" s="13" t="str">
        <f t="shared" si="332"/>
        <v>-</v>
      </c>
      <c r="J536" s="13" t="str">
        <f t="shared" si="332"/>
        <v>-</v>
      </c>
      <c r="K536" s="13" t="str">
        <f t="shared" si="332"/>
        <v>-</v>
      </c>
    </row>
    <row r="537" spans="1:11" x14ac:dyDescent="0.35">
      <c r="A537" s="5"/>
      <c r="B537" s="5" t="s">
        <v>6</v>
      </c>
      <c r="C537" s="5" t="s">
        <v>7</v>
      </c>
      <c r="D537" t="s">
        <v>259</v>
      </c>
      <c r="E537" s="5" t="s">
        <v>240</v>
      </c>
      <c r="F537" s="13">
        <f t="shared" si="328"/>
        <v>0.26690729777213479</v>
      </c>
      <c r="G537" s="13">
        <f t="shared" ref="G537:K537" si="333">IFERROR(G91/SUM(G319,G474),"-")</f>
        <v>0.29196669906803419</v>
      </c>
      <c r="H537" s="13">
        <f t="shared" si="333"/>
        <v>0.29059617666430693</v>
      </c>
      <c r="I537" s="13">
        <f t="shared" si="333"/>
        <v>0.29961613008659477</v>
      </c>
      <c r="J537" s="13">
        <f t="shared" si="333"/>
        <v>0.30408072212710646</v>
      </c>
      <c r="K537" s="13" t="str">
        <f t="shared" si="333"/>
        <v>-</v>
      </c>
    </row>
    <row r="538" spans="1:11" x14ac:dyDescent="0.35">
      <c r="A538" s="5"/>
      <c r="B538" s="5" t="s">
        <v>6</v>
      </c>
      <c r="C538" s="5" t="s">
        <v>7</v>
      </c>
      <c r="D538" t="s">
        <v>260</v>
      </c>
      <c r="E538" s="5" t="s">
        <v>240</v>
      </c>
      <c r="F538" s="13" t="str">
        <f t="shared" si="328"/>
        <v>-</v>
      </c>
      <c r="G538" s="13" t="str">
        <f t="shared" ref="G538:K538" si="334">IFERROR(G92/SUM(G320,G475),"-")</f>
        <v>-</v>
      </c>
      <c r="H538" s="13" t="str">
        <f t="shared" si="334"/>
        <v>-</v>
      </c>
      <c r="I538" s="13" t="str">
        <f t="shared" si="334"/>
        <v>-</v>
      </c>
      <c r="J538" s="13" t="str">
        <f t="shared" si="334"/>
        <v>-</v>
      </c>
      <c r="K538" s="13" t="str">
        <f t="shared" si="334"/>
        <v>-</v>
      </c>
    </row>
    <row r="539" spans="1:11" x14ac:dyDescent="0.35">
      <c r="A539" s="5"/>
      <c r="B539" s="5" t="s">
        <v>6</v>
      </c>
      <c r="C539" s="5" t="s">
        <v>7</v>
      </c>
      <c r="D539" t="s">
        <v>261</v>
      </c>
      <c r="E539" s="5" t="s">
        <v>240</v>
      </c>
      <c r="F539" s="13">
        <f t="shared" si="328"/>
        <v>0.36265749756187354</v>
      </c>
      <c r="G539" s="13">
        <f t="shared" ref="G539:K539" si="335">IFERROR(G93/SUM(G321,G476),"-")</f>
        <v>0.36306882824298053</v>
      </c>
      <c r="H539" s="13">
        <f t="shared" si="335"/>
        <v>0.3635854860764911</v>
      </c>
      <c r="I539" s="13">
        <f t="shared" si="335"/>
        <v>0.36474557984729072</v>
      </c>
      <c r="J539" s="13">
        <f t="shared" si="335"/>
        <v>0.37493810526891436</v>
      </c>
      <c r="K539" s="13">
        <f t="shared" si="335"/>
        <v>0.3851649917752149</v>
      </c>
    </row>
    <row r="540" spans="1:11" x14ac:dyDescent="0.35">
      <c r="A540" s="5"/>
      <c r="B540" s="5" t="s">
        <v>6</v>
      </c>
      <c r="C540" s="5" t="s">
        <v>7</v>
      </c>
      <c r="D540" t="s">
        <v>262</v>
      </c>
      <c r="E540" s="5" t="s">
        <v>240</v>
      </c>
      <c r="F540" s="13">
        <f t="shared" si="328"/>
        <v>0.35836922115949066</v>
      </c>
      <c r="G540" s="13">
        <f t="shared" ref="G540:K540" si="336">IFERROR(G94/SUM(G322,G477),"-")</f>
        <v>0.35999570598046876</v>
      </c>
      <c r="H540" s="13">
        <f t="shared" si="336"/>
        <v>0.35881472948318749</v>
      </c>
      <c r="I540" s="13">
        <f t="shared" si="336"/>
        <v>0.35958224255668741</v>
      </c>
      <c r="J540" s="13">
        <f t="shared" si="336"/>
        <v>0.35945296719023229</v>
      </c>
      <c r="K540" s="13" t="str">
        <f t="shared" si="336"/>
        <v>-</v>
      </c>
    </row>
    <row r="541" spans="1:11" x14ac:dyDescent="0.35">
      <c r="A541" s="5"/>
      <c r="B541" s="5" t="s">
        <v>6</v>
      </c>
      <c r="C541" s="5" t="s">
        <v>7</v>
      </c>
      <c r="D541" t="s">
        <v>263</v>
      </c>
      <c r="E541" s="5" t="s">
        <v>240</v>
      </c>
      <c r="F541" s="13" t="str">
        <f t="shared" si="328"/>
        <v>-</v>
      </c>
      <c r="G541" s="13" t="str">
        <f t="shared" ref="G541:K541" si="337">IFERROR(G95/SUM(G323,G478),"-")</f>
        <v>-</v>
      </c>
      <c r="H541" s="13" t="str">
        <f t="shared" si="337"/>
        <v>-</v>
      </c>
      <c r="I541" s="13" t="str">
        <f t="shared" si="337"/>
        <v>-</v>
      </c>
      <c r="J541" s="13" t="str">
        <f t="shared" si="337"/>
        <v>-</v>
      </c>
      <c r="K541" s="13" t="str">
        <f t="shared" si="337"/>
        <v>-</v>
      </c>
    </row>
    <row r="542" spans="1:11" x14ac:dyDescent="0.35">
      <c r="B542" s="5" t="s">
        <v>6</v>
      </c>
      <c r="C542" s="5" t="s">
        <v>7</v>
      </c>
      <c r="D542" t="s">
        <v>264</v>
      </c>
      <c r="E542" s="5" t="s">
        <v>240</v>
      </c>
      <c r="F542" s="13">
        <f>IFERROR(F129/F357,"-")</f>
        <v>0.35745695376016562</v>
      </c>
      <c r="G542" s="13">
        <f t="shared" ref="G542:K542" si="338">IFERROR(G129/G357,"-")</f>
        <v>0.35745695376016573</v>
      </c>
      <c r="H542" s="13">
        <f t="shared" si="338"/>
        <v>0.35745695376016551</v>
      </c>
      <c r="I542" s="13">
        <f t="shared" si="338"/>
        <v>0.3574569537601659</v>
      </c>
      <c r="J542" s="13">
        <f t="shared" si="338"/>
        <v>0.35745695376016584</v>
      </c>
      <c r="K542" s="13">
        <f t="shared" si="338"/>
        <v>0.35745695376016567</v>
      </c>
    </row>
    <row r="543" spans="1:11" x14ac:dyDescent="0.35">
      <c r="B543" s="5" t="s">
        <v>6</v>
      </c>
      <c r="C543" s="5" t="s">
        <v>7</v>
      </c>
      <c r="D543" t="s">
        <v>265</v>
      </c>
      <c r="E543" s="5" t="s">
        <v>240</v>
      </c>
      <c r="F543" s="13" t="str">
        <f>IFERROR(F130/F358,"-")</f>
        <v>-</v>
      </c>
      <c r="G543" s="13" t="str">
        <f t="shared" ref="G543:K543" si="339">IFERROR(G130/G358,"-")</f>
        <v>-</v>
      </c>
      <c r="H543" s="13" t="str">
        <f t="shared" si="339"/>
        <v>-</v>
      </c>
      <c r="I543" s="13" t="str">
        <f t="shared" si="339"/>
        <v>-</v>
      </c>
      <c r="J543" s="13">
        <f t="shared" si="339"/>
        <v>0.33470839322286872</v>
      </c>
      <c r="K543" s="13">
        <f t="shared" si="339"/>
        <v>0.34140256108732597</v>
      </c>
    </row>
    <row r="544" spans="1:11" x14ac:dyDescent="0.35">
      <c r="B544" s="5" t="s">
        <v>6</v>
      </c>
      <c r="C544" s="5" t="s">
        <v>7</v>
      </c>
      <c r="D544" t="s">
        <v>266</v>
      </c>
      <c r="E544" s="5" t="s">
        <v>240</v>
      </c>
      <c r="F544" s="13">
        <f>IFERROR(F131/SUM(F359,F426),"-")</f>
        <v>3.838365257230747E-2</v>
      </c>
      <c r="G544" s="13">
        <f t="shared" ref="G544:K544" si="340">IFERROR(G131/SUM(G359,G426),"-")</f>
        <v>3.7020574468375575E-2</v>
      </c>
      <c r="H544" s="13">
        <f t="shared" si="340"/>
        <v>3.7362977513296189E-2</v>
      </c>
      <c r="I544" s="13">
        <f t="shared" si="340"/>
        <v>3.6215114682239383E-2</v>
      </c>
      <c r="J544" s="13">
        <f t="shared" si="340"/>
        <v>3.2922743610013239E-2</v>
      </c>
      <c r="K544" s="13">
        <f t="shared" si="340"/>
        <v>2.9261560750013745E-2</v>
      </c>
    </row>
    <row r="545" spans="2:11" x14ac:dyDescent="0.35">
      <c r="B545" s="5" t="s">
        <v>6</v>
      </c>
      <c r="C545" s="5" t="s">
        <v>7</v>
      </c>
      <c r="D545" t="s">
        <v>267</v>
      </c>
      <c r="E545" s="5" t="s">
        <v>240</v>
      </c>
      <c r="F545" s="13" t="str">
        <f>IFERROR(F132/SUM(F360,F427),"-")</f>
        <v>-</v>
      </c>
      <c r="G545" s="13" t="str">
        <f t="shared" ref="G545:K545" si="341">IFERROR(G132/SUM(G360,G427),"-")</f>
        <v>-</v>
      </c>
      <c r="H545" s="13" t="str">
        <f t="shared" si="341"/>
        <v>-</v>
      </c>
      <c r="I545" s="13" t="str">
        <f t="shared" si="341"/>
        <v>-</v>
      </c>
      <c r="J545" s="13">
        <f t="shared" si="341"/>
        <v>4.8242849883234823E-2</v>
      </c>
      <c r="K545" s="13">
        <f t="shared" si="341"/>
        <v>5.3999999999999992E-2</v>
      </c>
    </row>
    <row r="546" spans="2:11" x14ac:dyDescent="0.35">
      <c r="B546" s="5" t="s">
        <v>6</v>
      </c>
      <c r="C546" s="5" t="s">
        <v>7</v>
      </c>
      <c r="D546" t="s">
        <v>268</v>
      </c>
      <c r="E546" s="5" t="s">
        <v>240</v>
      </c>
      <c r="F546" s="13">
        <f>IFERROR(F133/SUM(F361,F502),"-")</f>
        <v>6.1974432920923604E-2</v>
      </c>
      <c r="G546" s="13">
        <f t="shared" ref="G546:K546" si="342">IFERROR(G133/SUM(G361,G502),"-")</f>
        <v>6.1973101477352174E-2</v>
      </c>
      <c r="H546" s="13">
        <f t="shared" si="342"/>
        <v>6.197265056735525E-2</v>
      </c>
      <c r="I546" s="13">
        <f t="shared" si="342"/>
        <v>6.1972650567355334E-2</v>
      </c>
      <c r="J546" s="13">
        <f t="shared" si="342"/>
        <v>6.1972650567355313E-2</v>
      </c>
      <c r="K546" s="13">
        <f t="shared" si="342"/>
        <v>6.197265056735532E-2</v>
      </c>
    </row>
    <row r="547" spans="2:11" x14ac:dyDescent="0.35">
      <c r="B547" s="5" t="s">
        <v>6</v>
      </c>
      <c r="C547" s="5" t="s">
        <v>7</v>
      </c>
      <c r="D547" t="s">
        <v>269</v>
      </c>
      <c r="E547" s="5" t="s">
        <v>240</v>
      </c>
      <c r="F547" s="13" t="str">
        <f>IFERROR(F134/SUM(F362,F503),"-")</f>
        <v>-</v>
      </c>
      <c r="G547" s="13" t="str">
        <f t="shared" ref="G547:K547" si="343">IFERROR(G134/SUM(G362,G503),"-")</f>
        <v>-</v>
      </c>
      <c r="H547" s="13" t="str">
        <f t="shared" si="343"/>
        <v>-</v>
      </c>
      <c r="I547" s="13" t="str">
        <f t="shared" si="343"/>
        <v>-</v>
      </c>
      <c r="J547" s="13">
        <f t="shared" si="343"/>
        <v>4.7880823847050474E-2</v>
      </c>
      <c r="K547" s="13">
        <f t="shared" si="343"/>
        <v>4.5431760215214265E-2</v>
      </c>
    </row>
    <row r="548" spans="2:11" x14ac:dyDescent="0.35">
      <c r="B548" s="5" t="s">
        <v>6</v>
      </c>
      <c r="C548" s="5" t="s">
        <v>7</v>
      </c>
      <c r="D548" t="s">
        <v>270</v>
      </c>
      <c r="E548" s="5" t="s">
        <v>240</v>
      </c>
      <c r="F548" s="13">
        <f>IFERROR(F150/SUM(F378,F435),"-")</f>
        <v>0.24389436418475399</v>
      </c>
      <c r="G548" s="13">
        <f t="shared" ref="G548:K548" si="344">IFERROR(G150/SUM(G378,G435),"-")</f>
        <v>0.18843776782362898</v>
      </c>
      <c r="H548" s="13">
        <f t="shared" si="344"/>
        <v>0.20068612048919601</v>
      </c>
      <c r="I548" s="13">
        <f t="shared" si="344"/>
        <v>0.27507995957593212</v>
      </c>
      <c r="J548" s="13">
        <f t="shared" si="344"/>
        <v>0.30602602406040486</v>
      </c>
      <c r="K548" s="13">
        <f t="shared" si="344"/>
        <v>0.30623152634239825</v>
      </c>
    </row>
    <row r="549" spans="2:11" x14ac:dyDescent="0.35">
      <c r="B549" s="5" t="s">
        <v>6</v>
      </c>
      <c r="C549" s="5" t="s">
        <v>7</v>
      </c>
      <c r="D549" t="s">
        <v>271</v>
      </c>
      <c r="E549" s="5" t="s">
        <v>240</v>
      </c>
      <c r="F549" s="13" t="str">
        <f>IFERROR(F151/F379,"-")</f>
        <v>-</v>
      </c>
      <c r="G549" s="13" t="str">
        <f t="shared" ref="G549:K549" si="345">IFERROR(G151/G379,"-")</f>
        <v>-</v>
      </c>
      <c r="H549" s="13" t="str">
        <f t="shared" si="345"/>
        <v>-</v>
      </c>
      <c r="I549" s="13" t="str">
        <f t="shared" si="345"/>
        <v>-</v>
      </c>
      <c r="J549" s="13">
        <f t="shared" si="345"/>
        <v>0.14872898774557797</v>
      </c>
      <c r="K549" s="13">
        <f t="shared" si="345"/>
        <v>0.24956471525892909</v>
      </c>
    </row>
    <row r="550" spans="2:11" x14ac:dyDescent="0.35">
      <c r="B550" s="5" t="s">
        <v>6</v>
      </c>
      <c r="C550" s="5" t="s">
        <v>7</v>
      </c>
      <c r="D550" t="s">
        <v>272</v>
      </c>
      <c r="E550" s="5" t="s">
        <v>240</v>
      </c>
      <c r="F550" s="13">
        <f>IFERROR(F152/SUM(F380,F511),"-")</f>
        <v>0.19761338651028659</v>
      </c>
      <c r="G550" s="13">
        <f t="shared" ref="G550:K550" si="346">IFERROR(G152/SUM(G380,G511),"-")</f>
        <v>0.22581726622574699</v>
      </c>
      <c r="H550" s="13">
        <f t="shared" si="346"/>
        <v>0.26785947917321051</v>
      </c>
      <c r="I550" s="13">
        <f t="shared" si="346"/>
        <v>0.33851033209446191</v>
      </c>
      <c r="J550" s="13">
        <f t="shared" si="346"/>
        <v>0.35158590558121133</v>
      </c>
      <c r="K550" s="13">
        <f t="shared" si="346"/>
        <v>0.36749936057778226</v>
      </c>
    </row>
    <row r="551" spans="2:11" x14ac:dyDescent="0.35">
      <c r="B551" s="5" t="s">
        <v>6</v>
      </c>
      <c r="C551" s="5" t="s">
        <v>7</v>
      </c>
      <c r="D551" t="s">
        <v>273</v>
      </c>
      <c r="E551" s="5" t="s">
        <v>240</v>
      </c>
      <c r="F551" s="13" t="str">
        <f>IFERROR(F153/SUM(F381,F512),"-")</f>
        <v>-</v>
      </c>
      <c r="G551" s="13" t="str">
        <f t="shared" ref="G551:K551" si="347">IFERROR(G153/SUM(G381,G512),"-")</f>
        <v>-</v>
      </c>
      <c r="H551" s="13" t="str">
        <f t="shared" si="347"/>
        <v>-</v>
      </c>
      <c r="I551" s="13" t="str">
        <f t="shared" si="347"/>
        <v>-</v>
      </c>
      <c r="J551" s="13">
        <f t="shared" si="347"/>
        <v>0.33527656655402915</v>
      </c>
      <c r="K551" s="13">
        <f t="shared" si="347"/>
        <v>0.34900624339087627</v>
      </c>
    </row>
    <row r="552" spans="2:11" x14ac:dyDescent="0.35">
      <c r="B552" s="5" t="s">
        <v>6</v>
      </c>
      <c r="C552" s="5" t="s">
        <v>7</v>
      </c>
      <c r="D552" t="s">
        <v>274</v>
      </c>
      <c r="E552" s="5" t="s">
        <v>240</v>
      </c>
      <c r="F552" s="13" t="str">
        <f>IFERROR(F154/SUM(F382,F513),"-")</f>
        <v>-</v>
      </c>
      <c r="G552" s="13" t="str">
        <f t="shared" ref="G552:K552" si="348">IFERROR(G154/SUM(G382,G513),"-")</f>
        <v>-</v>
      </c>
      <c r="H552" s="13" t="str">
        <f t="shared" si="348"/>
        <v>-</v>
      </c>
      <c r="I552" s="13">
        <f t="shared" si="348"/>
        <v>0.2201529371831904</v>
      </c>
      <c r="J552" s="13">
        <f t="shared" si="348"/>
        <v>0.21948201562336769</v>
      </c>
      <c r="K552" s="13">
        <f t="shared" si="348"/>
        <v>0.24387615343744981</v>
      </c>
    </row>
    <row r="553" spans="2:11" x14ac:dyDescent="0.35">
      <c r="B553" s="5" t="s">
        <v>6</v>
      </c>
      <c r="C553" s="5" t="s">
        <v>7</v>
      </c>
      <c r="D553" t="s">
        <v>275</v>
      </c>
      <c r="E553" s="5" t="s">
        <v>240</v>
      </c>
      <c r="F553" s="13" t="str">
        <f>IFERROR(F155/SUM(F383,F514),"-")</f>
        <v>-</v>
      </c>
      <c r="G553" s="13" t="str">
        <f t="shared" ref="G553:K553" si="349">IFERROR(G155/SUM(G383,G514),"-")</f>
        <v>-</v>
      </c>
      <c r="H553" s="13" t="str">
        <f t="shared" si="349"/>
        <v>-</v>
      </c>
      <c r="I553" s="13">
        <f t="shared" si="349"/>
        <v>0.25584027050456287</v>
      </c>
      <c r="J553" s="13">
        <f t="shared" si="349"/>
        <v>0.2737586049883195</v>
      </c>
      <c r="K553" s="13">
        <f t="shared" si="349"/>
        <v>0.28511553399236905</v>
      </c>
    </row>
    <row r="554" spans="2:11" x14ac:dyDescent="0.35">
      <c r="B554" s="5" t="s">
        <v>6</v>
      </c>
      <c r="C554" s="5" t="s">
        <v>7</v>
      </c>
      <c r="D554" t="s">
        <v>293</v>
      </c>
      <c r="E554" s="5" t="s">
        <v>240</v>
      </c>
      <c r="F554" s="13" t="str">
        <f>IFERROR(F156/SUM(F384,F515),"-")</f>
        <v>-</v>
      </c>
      <c r="G554" s="13" t="str">
        <f t="shared" ref="G554:K554" si="350">IFERROR(G156/SUM(G384,G515),"-")</f>
        <v>-</v>
      </c>
      <c r="H554" s="13" t="str">
        <f t="shared" si="350"/>
        <v>-</v>
      </c>
      <c r="I554" s="13">
        <f t="shared" si="350"/>
        <v>0.28942320725190357</v>
      </c>
      <c r="J554" s="13">
        <f t="shared" si="350"/>
        <v>0.29394584694766146</v>
      </c>
      <c r="K554" s="13">
        <f t="shared" si="350"/>
        <v>0.29821651902957758</v>
      </c>
    </row>
    <row r="555" spans="2:11" x14ac:dyDescent="0.35">
      <c r="B555" s="5" t="s">
        <v>6</v>
      </c>
      <c r="C555" s="5" t="s">
        <v>7</v>
      </c>
      <c r="D555" t="s">
        <v>276</v>
      </c>
      <c r="E555" s="5" t="s">
        <v>240</v>
      </c>
      <c r="F555" s="13">
        <v>1</v>
      </c>
      <c r="G555" s="13">
        <v>1</v>
      </c>
      <c r="H555" s="13">
        <v>1</v>
      </c>
      <c r="I555" s="13">
        <v>1</v>
      </c>
      <c r="J555" s="13">
        <v>1</v>
      </c>
      <c r="K555" s="13">
        <v>1</v>
      </c>
    </row>
    <row r="556" spans="2:11" x14ac:dyDescent="0.35">
      <c r="B556" s="5" t="s">
        <v>6</v>
      </c>
      <c r="C556" s="5" t="s">
        <v>7</v>
      </c>
      <c r="D556" t="s">
        <v>277</v>
      </c>
      <c r="E556" s="5" t="s">
        <v>240</v>
      </c>
      <c r="F556" s="13">
        <v>1</v>
      </c>
      <c r="G556" s="13">
        <v>1</v>
      </c>
      <c r="H556" s="13">
        <v>1</v>
      </c>
      <c r="I556" s="13">
        <v>1</v>
      </c>
      <c r="J556" s="13">
        <v>1</v>
      </c>
      <c r="K556" s="13">
        <v>1</v>
      </c>
    </row>
    <row r="557" spans="2:11" x14ac:dyDescent="0.35">
      <c r="B557" s="5" t="s">
        <v>6</v>
      </c>
      <c r="C557" s="5" t="s">
        <v>7</v>
      </c>
      <c r="D557" t="s">
        <v>278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</row>
    <row r="558" spans="2:11" x14ac:dyDescent="0.35">
      <c r="B558" s="5" t="s">
        <v>6</v>
      </c>
      <c r="C558" s="5" t="s">
        <v>7</v>
      </c>
      <c r="D558" t="s">
        <v>279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</row>
    <row r="559" spans="2:11" x14ac:dyDescent="0.35">
      <c r="B559" s="5" t="s">
        <v>6</v>
      </c>
      <c r="C559" s="5" t="s">
        <v>7</v>
      </c>
      <c r="D559" t="s">
        <v>280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</row>
    <row r="560" spans="2:11" x14ac:dyDescent="0.35">
      <c r="B560" s="5" t="s">
        <v>6</v>
      </c>
      <c r="C560" s="5" t="s">
        <v>7</v>
      </c>
      <c r="D560" t="s">
        <v>281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</row>
    <row r="561" spans="2:11" x14ac:dyDescent="0.35">
      <c r="B561" s="5" t="s">
        <v>6</v>
      </c>
      <c r="C561" s="5" t="s">
        <v>7</v>
      </c>
      <c r="D561" t="s">
        <v>282</v>
      </c>
      <c r="E561" s="5" t="s">
        <v>240</v>
      </c>
      <c r="F561" s="13" t="str">
        <f>IFERROR(F166/F394,"-")</f>
        <v>-</v>
      </c>
      <c r="G561" s="13" t="str">
        <f t="shared" ref="G561:K561" si="351">IFERROR(G166/G394,"-")</f>
        <v>-</v>
      </c>
      <c r="H561" s="13" t="str">
        <f t="shared" si="351"/>
        <v>-</v>
      </c>
      <c r="I561" s="13" t="str">
        <f t="shared" si="351"/>
        <v>-</v>
      </c>
      <c r="J561" s="13">
        <f t="shared" si="351"/>
        <v>0.15000000000000011</v>
      </c>
      <c r="K561" s="13">
        <f t="shared" si="351"/>
        <v>0.14999999999999997</v>
      </c>
    </row>
    <row r="562" spans="2:11" x14ac:dyDescent="0.35">
      <c r="B562" s="5" t="s">
        <v>6</v>
      </c>
      <c r="C562" s="5" t="s">
        <v>7</v>
      </c>
      <c r="D562" t="s">
        <v>283</v>
      </c>
      <c r="E562" s="5" t="s">
        <v>240</v>
      </c>
      <c r="F562" s="13" t="str">
        <f>IFERROR(F168/SUM(F396,F437),"-")</f>
        <v>-</v>
      </c>
      <c r="G562" s="13" t="str">
        <f t="shared" ref="G562:K562" si="352">IFERROR(G168/SUM(G396,G437),"-")</f>
        <v>-</v>
      </c>
      <c r="H562" s="13" t="str">
        <f t="shared" si="352"/>
        <v>-</v>
      </c>
      <c r="I562" s="13" t="str">
        <f t="shared" si="352"/>
        <v>-</v>
      </c>
      <c r="J562" s="13">
        <f t="shared" si="352"/>
        <v>0.41999999999999954</v>
      </c>
      <c r="K562" s="13">
        <f t="shared" si="352"/>
        <v>0.41999999999999965</v>
      </c>
    </row>
    <row r="563" spans="2:11" x14ac:dyDescent="0.35">
      <c r="B563" s="5" t="s">
        <v>6</v>
      </c>
      <c r="C563" s="5" t="s">
        <v>7</v>
      </c>
      <c r="D563" t="s">
        <v>284</v>
      </c>
      <c r="E563" s="5" t="s">
        <v>240</v>
      </c>
      <c r="F563" s="13" t="str">
        <f>IFERROR(F169/SUM(F397,F517),"-")</f>
        <v>-</v>
      </c>
      <c r="G563" s="13" t="str">
        <f t="shared" ref="G563:K563" si="353">IFERROR(G169/SUM(G397,G517),"-")</f>
        <v>-</v>
      </c>
      <c r="H563" s="13" t="str">
        <f t="shared" si="353"/>
        <v>-</v>
      </c>
      <c r="I563" s="13">
        <f t="shared" si="353"/>
        <v>0.49499999999999933</v>
      </c>
      <c r="J563" s="13">
        <f t="shared" si="353"/>
        <v>0.55000000000000082</v>
      </c>
      <c r="K563" s="13">
        <f t="shared" si="353"/>
        <v>0.60000000000000042</v>
      </c>
    </row>
    <row r="564" spans="2:11" x14ac:dyDescent="0.35">
      <c r="B564" s="5" t="s">
        <v>6</v>
      </c>
      <c r="C564" s="5" t="s">
        <v>7</v>
      </c>
      <c r="D564" t="s">
        <v>285</v>
      </c>
      <c r="E564" s="5" t="s">
        <v>240</v>
      </c>
      <c r="F564" s="13" t="str">
        <f>IFERROR(F170/SUM(F398,F518),"-")</f>
        <v>-</v>
      </c>
      <c r="G564" s="13" t="str">
        <f t="shared" ref="G564:K564" si="354">IFERROR(G170/SUM(G398,G518),"-")</f>
        <v>-</v>
      </c>
      <c r="H564" s="13" t="str">
        <f t="shared" si="354"/>
        <v>-</v>
      </c>
      <c r="I564" s="13">
        <f t="shared" si="354"/>
        <v>0.47446905915191917</v>
      </c>
      <c r="J564" s="13">
        <f t="shared" si="354"/>
        <v>0.54000000000000026</v>
      </c>
      <c r="K564" s="13">
        <f t="shared" si="354"/>
        <v>0.57498935111535021</v>
      </c>
    </row>
    <row r="565" spans="2:11" x14ac:dyDescent="0.35">
      <c r="B565" s="5" t="s">
        <v>6</v>
      </c>
      <c r="C565" s="5" t="s">
        <v>7</v>
      </c>
      <c r="D565" t="s">
        <v>286</v>
      </c>
      <c r="E565" s="5" t="s">
        <v>240</v>
      </c>
      <c r="F565" s="13">
        <f t="shared" ref="F565:K571" si="355">IFERROR(F172/F400,"-")</f>
        <v>0.69989587224666028</v>
      </c>
      <c r="G565" s="13">
        <f t="shared" si="355"/>
        <v>0.69940456059829192</v>
      </c>
      <c r="H565" s="13">
        <f t="shared" si="355"/>
        <v>0.69999604887718458</v>
      </c>
      <c r="I565" s="13">
        <f t="shared" si="355"/>
        <v>0.69869748642242147</v>
      </c>
      <c r="J565" s="13">
        <f t="shared" si="355"/>
        <v>0.69997787443338411</v>
      </c>
      <c r="K565" s="13">
        <f t="shared" si="355"/>
        <v>0.69998534926245926</v>
      </c>
    </row>
    <row r="566" spans="2:11" x14ac:dyDescent="0.35">
      <c r="B566" s="5" t="s">
        <v>6</v>
      </c>
      <c r="C566" s="5" t="s">
        <v>7</v>
      </c>
      <c r="D566" t="s">
        <v>287</v>
      </c>
      <c r="E566" s="5" t="s">
        <v>240</v>
      </c>
      <c r="F566" s="13">
        <f t="shared" si="355"/>
        <v>0.85984425205781734</v>
      </c>
      <c r="G566" s="13">
        <f t="shared" si="355"/>
        <v>0.86044914583584309</v>
      </c>
      <c r="H566" s="13">
        <f t="shared" si="355"/>
        <v>0.86685733397608988</v>
      </c>
      <c r="I566" s="13">
        <f t="shared" si="355"/>
        <v>0.86614669820781287</v>
      </c>
      <c r="J566" s="13">
        <f t="shared" si="355"/>
        <v>0.86703556583316999</v>
      </c>
      <c r="K566" s="13">
        <f t="shared" si="355"/>
        <v>0.86703887668382251</v>
      </c>
    </row>
    <row r="567" spans="2:11" x14ac:dyDescent="0.35">
      <c r="B567" s="5" t="s">
        <v>6</v>
      </c>
      <c r="C567" s="5" t="s">
        <v>7</v>
      </c>
      <c r="D567" t="s">
        <v>288</v>
      </c>
      <c r="E567" s="5" t="s">
        <v>240</v>
      </c>
      <c r="F567" s="13">
        <f t="shared" si="355"/>
        <v>0.89303976527112672</v>
      </c>
      <c r="G567" s="13">
        <f t="shared" si="355"/>
        <v>0.8939684980451893</v>
      </c>
      <c r="H567" s="13">
        <f t="shared" si="355"/>
        <v>0.89371861746931591</v>
      </c>
      <c r="I567" s="13">
        <f t="shared" si="355"/>
        <v>0.89337136982121046</v>
      </c>
      <c r="J567" s="13">
        <f t="shared" si="355"/>
        <v>0.89422823393310746</v>
      </c>
      <c r="K567" s="13">
        <f t="shared" si="355"/>
        <v>0.89426677745162086</v>
      </c>
    </row>
    <row r="568" spans="2:11" x14ac:dyDescent="0.35">
      <c r="B568" s="5" t="s">
        <v>6</v>
      </c>
      <c r="C568" s="5" t="s">
        <v>7</v>
      </c>
      <c r="D568" t="s">
        <v>289</v>
      </c>
      <c r="E568" s="5" t="s">
        <v>240</v>
      </c>
      <c r="F568" s="13">
        <f t="shared" si="355"/>
        <v>0.89137412342205535</v>
      </c>
      <c r="G568" s="13">
        <f t="shared" si="355"/>
        <v>0.89335366632408519</v>
      </c>
      <c r="H568" s="13">
        <f t="shared" si="355"/>
        <v>0.90252373448553924</v>
      </c>
      <c r="I568" s="13">
        <f t="shared" si="355"/>
        <v>0.90424916985089165</v>
      </c>
      <c r="J568" s="13">
        <f t="shared" si="355"/>
        <v>0.90426759461342887</v>
      </c>
      <c r="K568" s="13">
        <f t="shared" si="355"/>
        <v>0.90426865908814968</v>
      </c>
    </row>
    <row r="569" spans="2:11" x14ac:dyDescent="0.35">
      <c r="B569" s="5" t="s">
        <v>6</v>
      </c>
      <c r="C569" s="5" t="s">
        <v>7</v>
      </c>
      <c r="D569" t="s">
        <v>1855</v>
      </c>
      <c r="E569" s="5" t="s">
        <v>240</v>
      </c>
      <c r="F569" s="13">
        <f t="shared" si="355"/>
        <v>0.89145940646511812</v>
      </c>
      <c r="G569" s="13">
        <f t="shared" si="355"/>
        <v>0.89342737930514549</v>
      </c>
      <c r="H569" s="13">
        <f t="shared" si="355"/>
        <v>0.90260960538863533</v>
      </c>
      <c r="I569" s="13">
        <f t="shared" si="355"/>
        <v>0.90418162021626036</v>
      </c>
      <c r="J569" s="13">
        <f t="shared" si="355"/>
        <v>0.90421211104100796</v>
      </c>
      <c r="K569" s="13">
        <f t="shared" si="355"/>
        <v>0.90417619243648595</v>
      </c>
    </row>
    <row r="570" spans="2:11" x14ac:dyDescent="0.35">
      <c r="B570" s="5" t="s">
        <v>6</v>
      </c>
      <c r="C570" s="5" t="s">
        <v>7</v>
      </c>
      <c r="D570" t="s">
        <v>290</v>
      </c>
      <c r="E570" s="5" t="s">
        <v>240</v>
      </c>
      <c r="F570" s="13">
        <f t="shared" si="355"/>
        <v>0.89146203365879695</v>
      </c>
      <c r="G570" s="13">
        <f t="shared" si="355"/>
        <v>0.89342945574138632</v>
      </c>
      <c r="H570" s="13">
        <f t="shared" si="355"/>
        <v>0.90257125402121396</v>
      </c>
      <c r="I570" s="13">
        <f t="shared" si="355"/>
        <v>0.90408737303732023</v>
      </c>
      <c r="J570" s="13">
        <f t="shared" si="355"/>
        <v>0.90421363991833059</v>
      </c>
      <c r="K570" s="13">
        <f t="shared" si="355"/>
        <v>0.90417683700389517</v>
      </c>
    </row>
    <row r="571" spans="2:11" x14ac:dyDescent="0.35">
      <c r="B571" s="5" t="s">
        <v>6</v>
      </c>
      <c r="C571" s="5" t="s">
        <v>7</v>
      </c>
      <c r="D571" t="s">
        <v>291</v>
      </c>
      <c r="E571" s="5" t="s">
        <v>240</v>
      </c>
      <c r="F571" s="13">
        <f t="shared" si="355"/>
        <v>0.89142958886002777</v>
      </c>
      <c r="G571" s="13">
        <f t="shared" si="355"/>
        <v>0.89340125144240401</v>
      </c>
      <c r="H571" s="13">
        <f t="shared" si="355"/>
        <v>0.90253157990901778</v>
      </c>
      <c r="I571" s="13">
        <f t="shared" si="355"/>
        <v>0.9042060409124526</v>
      </c>
      <c r="J571" s="13">
        <f t="shared" si="355"/>
        <v>0.90422644808898756</v>
      </c>
      <c r="K571" s="13">
        <f t="shared" si="355"/>
        <v>0.90419943967750238</v>
      </c>
    </row>
    <row r="572" spans="2:11" x14ac:dyDescent="0.35">
      <c r="B572" s="9" t="s">
        <v>6</v>
      </c>
      <c r="C572" s="9" t="s">
        <v>7</v>
      </c>
      <c r="D572" s="2" t="s">
        <v>296</v>
      </c>
      <c r="E572" s="5" t="s">
        <v>240</v>
      </c>
      <c r="F572" t="s">
        <v>292</v>
      </c>
      <c r="G572" t="s">
        <v>292</v>
      </c>
      <c r="H572" t="s">
        <v>292</v>
      </c>
      <c r="I572" t="s">
        <v>292</v>
      </c>
      <c r="J572" t="s">
        <v>292</v>
      </c>
      <c r="K572" t="s">
        <v>292</v>
      </c>
    </row>
    <row r="573" spans="2:11" x14ac:dyDescent="0.35">
      <c r="B573" s="5" t="s">
        <v>6</v>
      </c>
      <c r="C573" s="5" t="s">
        <v>7</v>
      </c>
      <c r="D573" t="s">
        <v>297</v>
      </c>
      <c r="E573" s="5" t="s">
        <v>240</v>
      </c>
      <c r="F573" s="4">
        <f>IFERROR(F210/F440,"-")</f>
        <v>0.59933606966512154</v>
      </c>
      <c r="G573" s="4">
        <f t="shared" ref="G573:K573" si="356">IFERROR(G210/G440,"-")</f>
        <v>0.63788965277148479</v>
      </c>
      <c r="H573" s="4">
        <f t="shared" si="356"/>
        <v>0.47610894301333889</v>
      </c>
      <c r="I573" s="4">
        <f t="shared" si="356"/>
        <v>0.38083293048419914</v>
      </c>
      <c r="J573" s="4">
        <f t="shared" si="356"/>
        <v>0.38083293048419881</v>
      </c>
      <c r="K573" s="4">
        <f t="shared" si="356"/>
        <v>0.3808329304841987</v>
      </c>
    </row>
    <row r="574" spans="2:11" x14ac:dyDescent="0.35">
      <c r="B574" s="5" t="s">
        <v>6</v>
      </c>
      <c r="C574" s="5" t="s">
        <v>7</v>
      </c>
      <c r="D574" t="s">
        <v>298</v>
      </c>
      <c r="E574" s="5" t="s">
        <v>240</v>
      </c>
      <c r="F574" s="4">
        <f>IFERROR(F216/F446,"-")</f>
        <v>1</v>
      </c>
      <c r="G574" s="4">
        <f t="shared" ref="G574:K574" si="357">IFERROR(G216/G446,"-")</f>
        <v>1</v>
      </c>
      <c r="H574" s="4">
        <f t="shared" si="357"/>
        <v>1</v>
      </c>
      <c r="I574" s="4">
        <f t="shared" si="357"/>
        <v>1</v>
      </c>
      <c r="J574" s="4" t="str">
        <f t="shared" si="357"/>
        <v>-</v>
      </c>
      <c r="K574" s="4" t="str">
        <f t="shared" si="357"/>
        <v>-</v>
      </c>
    </row>
    <row r="575" spans="2:11" x14ac:dyDescent="0.35">
      <c r="B575" s="5" t="s">
        <v>6</v>
      </c>
      <c r="C575" s="5" t="s">
        <v>7</v>
      </c>
      <c r="D575" t="s">
        <v>299</v>
      </c>
      <c r="E575" s="5" t="s">
        <v>240</v>
      </c>
      <c r="F575" s="4">
        <f>IFERROR(F218/F448,"-")</f>
        <v>0.85445501111132549</v>
      </c>
      <c r="G575" s="4">
        <f t="shared" ref="G575:K575" si="358">IFERROR(G218/G448,"-")</f>
        <v>0.85445501111132482</v>
      </c>
      <c r="H575" s="4">
        <f t="shared" si="358"/>
        <v>0.85445501111132549</v>
      </c>
      <c r="I575" s="4">
        <f t="shared" si="358"/>
        <v>0.85445501111132527</v>
      </c>
      <c r="J575" s="4">
        <f t="shared" si="358"/>
        <v>0.85445501111132527</v>
      </c>
      <c r="K575" s="4">
        <f t="shared" si="358"/>
        <v>0.85445501111132538</v>
      </c>
    </row>
    <row r="576" spans="2:11" x14ac:dyDescent="0.35">
      <c r="B576" s="5" t="s">
        <v>6</v>
      </c>
      <c r="C576" s="5" t="s">
        <v>7</v>
      </c>
      <c r="D576" t="s">
        <v>300</v>
      </c>
      <c r="E576" s="5" t="s">
        <v>240</v>
      </c>
      <c r="F576" s="4">
        <f>IFERROR(F224/F454,"-")</f>
        <v>0.7</v>
      </c>
      <c r="G576" s="4">
        <f t="shared" ref="G576:K576" si="359">IFERROR(G224/G454,"-")</f>
        <v>0.70000000000000029</v>
      </c>
      <c r="H576" s="4">
        <f t="shared" si="359"/>
        <v>0.7</v>
      </c>
      <c r="I576" s="4">
        <f t="shared" si="359"/>
        <v>0.70000000000000073</v>
      </c>
      <c r="J576" s="4">
        <f t="shared" si="359"/>
        <v>0.70000000000000018</v>
      </c>
      <c r="K576" s="4">
        <f t="shared" si="359"/>
        <v>0.7000000000000004</v>
      </c>
    </row>
    <row r="577" spans="2:11" x14ac:dyDescent="0.35">
      <c r="B577" s="5" t="s">
        <v>6</v>
      </c>
      <c r="C577" s="5" t="s">
        <v>7</v>
      </c>
      <c r="D577" t="s">
        <v>301</v>
      </c>
      <c r="E577" s="5" t="s">
        <v>240</v>
      </c>
      <c r="F577" t="str">
        <f>IFERROR(F226/F456,"-")</f>
        <v>-</v>
      </c>
      <c r="G577" t="str">
        <f t="shared" ref="G577:K577" si="360">IFERROR(G226/G456,"-")</f>
        <v>-</v>
      </c>
      <c r="H577" t="str">
        <f t="shared" si="360"/>
        <v>-</v>
      </c>
      <c r="I577">
        <f t="shared" si="360"/>
        <v>0.50000000000000033</v>
      </c>
      <c r="J577">
        <f t="shared" si="360"/>
        <v>0.50000000000000044</v>
      </c>
      <c r="K577">
        <f t="shared" si="360"/>
        <v>0.50000000000000011</v>
      </c>
    </row>
    <row r="578" spans="2:11" x14ac:dyDescent="0.35">
      <c r="B578" s="5" t="s">
        <v>6</v>
      </c>
      <c r="C578" s="5" t="s">
        <v>7</v>
      </c>
      <c r="D578" t="s">
        <v>302</v>
      </c>
      <c r="E578" s="5" t="s">
        <v>240</v>
      </c>
      <c r="F578" t="str">
        <f>IFERROR(F228/F458,"-")</f>
        <v>-</v>
      </c>
      <c r="G578" t="str">
        <f t="shared" ref="G578:K578" si="361">IFERROR(G228/G458,"-")</f>
        <v>-</v>
      </c>
      <c r="H578" t="str">
        <f t="shared" si="361"/>
        <v>-</v>
      </c>
      <c r="I578" t="str">
        <f t="shared" si="361"/>
        <v>-</v>
      </c>
      <c r="J578">
        <f t="shared" si="361"/>
        <v>0.85</v>
      </c>
      <c r="K578">
        <f t="shared" si="361"/>
        <v>0.84999999999999964</v>
      </c>
    </row>
    <row r="579" spans="2:11" x14ac:dyDescent="0.35">
      <c r="B579" s="5" t="s">
        <v>6</v>
      </c>
      <c r="C579" s="5" t="s">
        <v>7</v>
      </c>
      <c r="D579" t="s">
        <v>720</v>
      </c>
      <c r="E579" s="5" t="s">
        <v>240</v>
      </c>
      <c r="F579" s="4" t="str">
        <f>IFERROR(F230/F460,"-")</f>
        <v>-</v>
      </c>
      <c r="G579" s="4">
        <f t="shared" ref="G579:K579" si="362">IFERROR(G230/G460,"-")</f>
        <v>3.0000000000000009</v>
      </c>
      <c r="H579" s="4">
        <f t="shared" si="362"/>
        <v>2.9999999999999987</v>
      </c>
      <c r="I579" s="4">
        <f t="shared" si="362"/>
        <v>2.9999999999999973</v>
      </c>
      <c r="J579" s="4">
        <f t="shared" si="362"/>
        <v>3.0000000000000018</v>
      </c>
      <c r="K579" s="4">
        <f t="shared" si="362"/>
        <v>3</v>
      </c>
    </row>
    <row r="580" spans="2:11" x14ac:dyDescent="0.35">
      <c r="B580" s="9" t="s">
        <v>6</v>
      </c>
      <c r="C580" s="9" t="s">
        <v>7</v>
      </c>
      <c r="D580" s="2" t="s">
        <v>303</v>
      </c>
      <c r="E580" s="9" t="s">
        <v>8</v>
      </c>
      <c r="F580" s="3">
        <f>[1]Other_transformation!B$5</f>
        <v>0.68124618976053264</v>
      </c>
      <c r="G580" s="3">
        <f>[1]Other_transformation!C$5</f>
        <v>0.63726252784008453</v>
      </c>
      <c r="H580" s="3">
        <f>[1]Other_transformation!D$5</f>
        <v>0.88320396834151982</v>
      </c>
      <c r="I580" s="3">
        <f>[1]Other_transformation!E$5</f>
        <v>3.9727303584592958E-5</v>
      </c>
      <c r="J580" s="3">
        <f>[1]Other_transformation!F$5</f>
        <v>1.7176563831455743E-4</v>
      </c>
      <c r="K580" s="3">
        <f>[1]Other_transformation!G$5</f>
        <v>2.4892574190544181</v>
      </c>
    </row>
    <row r="581" spans="2:11" x14ac:dyDescent="0.35">
      <c r="B581" s="5" t="s">
        <v>6</v>
      </c>
      <c r="C581" s="5" t="s">
        <v>7</v>
      </c>
      <c r="D581" t="s">
        <v>903</v>
      </c>
      <c r="E581" s="5" t="s">
        <v>8</v>
      </c>
      <c r="F581" s="1">
        <f>F580</f>
        <v>0.68124618976053264</v>
      </c>
      <c r="G581" s="1">
        <f t="shared" ref="G581:K581" si="363">G580</f>
        <v>0.63726252784008453</v>
      </c>
      <c r="H581" s="1">
        <f t="shared" si="363"/>
        <v>0.88320396834151982</v>
      </c>
      <c r="I581" s="1">
        <f t="shared" si="363"/>
        <v>3.9727303584592958E-5</v>
      </c>
      <c r="J581" s="1">
        <f t="shared" si="363"/>
        <v>1.7176563831455743E-4</v>
      </c>
      <c r="K581" s="1">
        <f t="shared" si="363"/>
        <v>2.4892574190544181</v>
      </c>
    </row>
    <row r="582" spans="2:11" x14ac:dyDescent="0.35">
      <c r="B582" s="5" t="s">
        <v>6</v>
      </c>
      <c r="C582" s="5" t="s">
        <v>7</v>
      </c>
      <c r="D582" t="s">
        <v>304</v>
      </c>
      <c r="E582" s="5" t="s">
        <v>8</v>
      </c>
      <c r="F582" s="1" cm="1">
        <f t="array" ref="F582">SUMPRODUCT(("CT_CWODBDS"=[1]OUT_SyntheticFuels!$C$4:$C$1000)*1,("BDS"=[1]OUT_SyntheticFuels!$A$4:$A$1000)*1,("Var_Fout"=[1]OUT_SyntheticFuels!$B$4:$B$1000)*1,[1]OUT_SyntheticFuels!E$4:E$1000)</f>
        <v>0.68124618976053264</v>
      </c>
      <c r="G582" s="1" cm="1">
        <f t="array" ref="G582">SUMPRODUCT(("CT_CWODBDS"=[1]OUT_SyntheticFuels!$C$4:$C$1000)*1,("BDS"=[1]OUT_SyntheticFuels!$A$4:$A$1000)*1,("Var_Fout"=[1]OUT_SyntheticFuels!$B$4:$B$1000)*1,[1]OUT_SyntheticFuels!F$4:F$1000)</f>
        <v>0.63726252784008453</v>
      </c>
      <c r="H582" s="1" cm="1">
        <f t="array" ref="H582">SUMPRODUCT(("CT_CWODBDS"=[1]OUT_SyntheticFuels!$C$4:$C$1000)*1,("BDS"=[1]OUT_SyntheticFuels!$A$4:$A$1000)*1,("Var_Fout"=[1]OUT_SyntheticFuels!$B$4:$B$1000)*1,[1]OUT_SyntheticFuels!G$4:G$1000)</f>
        <v>0.88320396834151982</v>
      </c>
      <c r="I582" s="1" cm="1">
        <f t="array" ref="I582">SUMPRODUCT(("CT_CWODBDS"=[1]OUT_SyntheticFuels!$C$4:$C$1000)*1,("BDS"=[1]OUT_SyntheticFuels!$A$4:$A$1000)*1,("Var_Fout"=[1]OUT_SyntheticFuels!$B$4:$B$1000)*1,[1]OUT_SyntheticFuels!H$4:H$1000)</f>
        <v>3.9727303584592958E-5</v>
      </c>
      <c r="J582" s="1" cm="1">
        <f t="array" ref="J582">SUMPRODUCT(("CT_CWODBDS"=[1]OUT_SyntheticFuels!$C$4:$C$1000)*1,("BDS"=[1]OUT_SyntheticFuels!$A$4:$A$1000)*1,("Var_Fout"=[1]OUT_SyntheticFuels!$B$4:$B$1000)*1,[1]OUT_SyntheticFuels!I$4:I$1000)</f>
        <v>1.1618766492015559E-4</v>
      </c>
      <c r="K582" s="1" cm="1">
        <f t="array" ref="K582">SUMPRODUCT(("CT_CWODBDS"=[1]OUT_SyntheticFuels!$C$4:$C$1000)*1,("BDS"=[1]OUT_SyntheticFuels!$A$4:$A$1000)*1,("Var_Fout"=[1]OUT_SyntheticFuels!$B$4:$B$1000)*1,[1]OUT_SyntheticFuels!J$4:J$1000)</f>
        <v>6.6263009819423173E-5</v>
      </c>
    </row>
    <row r="583" spans="2:11" x14ac:dyDescent="0.35">
      <c r="B583" s="5" t="s">
        <v>6</v>
      </c>
      <c r="C583" s="5" t="s">
        <v>7</v>
      </c>
      <c r="D583" t="s">
        <v>305</v>
      </c>
      <c r="E583" s="5" t="s">
        <v>8</v>
      </c>
      <c r="F583" s="1" cm="1">
        <f t="array" ref="F583">SUMPRODUCT(("CT_CWODBDSCCS"=[1]OUT_SyntheticFuels!$C$4:$C$1000)*1,("BDS"=[1]OUT_SyntheticFuels!$A$4:$A$1000)*1,("Var_Fout"=[1]OUT_SyntheticFuels!$B$4:$B$1000)*1,[1]OUT_SyntheticFuels!E$4:E$1000)</f>
        <v>0</v>
      </c>
      <c r="G583" s="1" cm="1">
        <f t="array" ref="G583">SUMPRODUCT(("CT_CWODBDSCCS"=[1]OUT_SyntheticFuels!$C$4:$C$1000)*1,("BDS"=[1]OUT_SyntheticFuels!$A$4:$A$1000)*1,("Var_Fout"=[1]OUT_SyntheticFuels!$B$4:$B$1000)*1,[1]OUT_SyntheticFuels!F$4:F$1000)</f>
        <v>0</v>
      </c>
      <c r="H583" s="1" cm="1">
        <f t="array" ref="H583">SUMPRODUCT(("CT_CWODBDSCCS"=[1]OUT_SyntheticFuels!$C$4:$C$1000)*1,("BDS"=[1]OUT_SyntheticFuels!$A$4:$A$1000)*1,("Var_Fout"=[1]OUT_SyntheticFuels!$B$4:$B$1000)*1,[1]OUT_SyntheticFuels!G$4:G$1000)</f>
        <v>0</v>
      </c>
      <c r="I583" s="1" cm="1">
        <f t="array" ref="I583">SUMPRODUCT(("CT_CWODBDSCCS"=[1]OUT_SyntheticFuels!$C$4:$C$1000)*1,("BDS"=[1]OUT_SyntheticFuels!$A$4:$A$1000)*1,("Var_Fout"=[1]OUT_SyntheticFuels!$B$4:$B$1000)*1,[1]OUT_SyntheticFuels!H$4:H$1000)</f>
        <v>0</v>
      </c>
      <c r="J583" s="1" cm="1">
        <f t="array" ref="J583">SUMPRODUCT(("CT_CWODBDSCCS"=[1]OUT_SyntheticFuels!$C$4:$C$1000)*1,("BDS"=[1]OUT_SyntheticFuels!$A$4:$A$1000)*1,("Var_Fout"=[1]OUT_SyntheticFuels!$B$4:$B$1000)*1,[1]OUT_SyntheticFuels!I$4:I$1000)</f>
        <v>5.5577973394401839E-5</v>
      </c>
      <c r="K583" s="1" cm="1">
        <f t="array" ref="K583">SUMPRODUCT(("CT_CWODBDSCCS"=[1]OUT_SyntheticFuels!$C$4:$C$1000)*1,("BDS"=[1]OUT_SyntheticFuels!$A$4:$A$1000)*1,("Var_Fout"=[1]OUT_SyntheticFuels!$B$4:$B$1000)*1,[1]OUT_SyntheticFuels!J$4:J$1000)</f>
        <v>2.4891911560445985</v>
      </c>
    </row>
    <row r="584" spans="2:11" x14ac:dyDescent="0.35">
      <c r="B584" s="9" t="s">
        <v>6</v>
      </c>
      <c r="C584" s="9" t="s">
        <v>7</v>
      </c>
      <c r="D584" s="2" t="s">
        <v>370</v>
      </c>
      <c r="E584" s="9" t="s">
        <v>8</v>
      </c>
      <c r="F584" s="3">
        <f>F585</f>
        <v>0.26568601400660719</v>
      </c>
      <c r="G584" s="3">
        <f t="shared" ref="G584:K584" si="364">G585</f>
        <v>0.24853238585763265</v>
      </c>
      <c r="H584" s="3">
        <f t="shared" si="364"/>
        <v>0.34444954765319225</v>
      </c>
      <c r="I584" s="3">
        <f t="shared" si="364"/>
        <v>1.5493648397991225E-5</v>
      </c>
      <c r="J584" s="3">
        <f t="shared" si="364"/>
        <v>6.6988598942677277E-5</v>
      </c>
      <c r="K584" s="3">
        <f t="shared" si="364"/>
        <v>0.97081039343122044</v>
      </c>
    </row>
    <row r="585" spans="2:11" x14ac:dyDescent="0.35">
      <c r="B585" s="5" t="s">
        <v>6</v>
      </c>
      <c r="C585" s="5" t="s">
        <v>7</v>
      </c>
      <c r="D585" t="s">
        <v>904</v>
      </c>
      <c r="E585" s="5" t="s">
        <v>8</v>
      </c>
      <c r="F585" s="1">
        <f>SUM(F586:F587)</f>
        <v>0.26568601400660719</v>
      </c>
      <c r="G585" s="1">
        <f t="shared" ref="G585:K585" si="365">SUM(G586:G587)</f>
        <v>0.24853238585763265</v>
      </c>
      <c r="H585" s="1">
        <f t="shared" si="365"/>
        <v>0.34444954765319225</v>
      </c>
      <c r="I585" s="1">
        <f t="shared" si="365"/>
        <v>1.5493648397991225E-5</v>
      </c>
      <c r="J585" s="1">
        <f t="shared" si="365"/>
        <v>6.6988598942677277E-5</v>
      </c>
      <c r="K585" s="1">
        <f t="shared" si="365"/>
        <v>0.97081039343122044</v>
      </c>
    </row>
    <row r="586" spans="2:11" x14ac:dyDescent="0.35">
      <c r="B586" s="5" t="s">
        <v>6</v>
      </c>
      <c r="C586" s="5" t="s">
        <v>7</v>
      </c>
      <c r="D586" t="s">
        <v>307</v>
      </c>
      <c r="E586" s="5" t="s">
        <v>8</v>
      </c>
      <c r="F586" s="1" cm="1">
        <f t="array" ref="F586">SUMPRODUCT(("CT_CWODBDS"=[1]OUT_SyntheticFuels!$C$4:$C$1000)*1,("LTH"=[1]OUT_SyntheticFuels!$A$4:$A$1000)*1,("Var_Fout"=[1]OUT_SyntheticFuels!$B$4:$B$1000)*1,[1]OUT_SyntheticFuels!E$4:E$1000)</f>
        <v>0.26568601400660719</v>
      </c>
      <c r="G586" s="1" cm="1">
        <f t="array" ref="G586">SUMPRODUCT(("CT_CWODBDS"=[1]OUT_SyntheticFuels!$C$4:$C$1000)*1,("LTH"=[1]OUT_SyntheticFuels!$A$4:$A$1000)*1,("Var_Fout"=[1]OUT_SyntheticFuels!$B$4:$B$1000)*1,[1]OUT_SyntheticFuels!F$4:F$1000)</f>
        <v>0.24853238585763265</v>
      </c>
      <c r="H586" s="1" cm="1">
        <f t="array" ref="H586">SUMPRODUCT(("CT_CWODBDS"=[1]OUT_SyntheticFuels!$C$4:$C$1000)*1,("LTH"=[1]OUT_SyntheticFuels!$A$4:$A$1000)*1,("Var_Fout"=[1]OUT_SyntheticFuels!$B$4:$B$1000)*1,[1]OUT_SyntheticFuels!G$4:G$1000)</f>
        <v>0.34444954765319225</v>
      </c>
      <c r="I586" s="1" cm="1">
        <f t="array" ref="I586">SUMPRODUCT(("CT_CWODBDS"=[1]OUT_SyntheticFuels!$C$4:$C$1000)*1,("LTH"=[1]OUT_SyntheticFuels!$A$4:$A$1000)*1,("Var_Fout"=[1]OUT_SyntheticFuels!$B$4:$B$1000)*1,[1]OUT_SyntheticFuels!H$4:H$1000)</f>
        <v>1.5493648397991225E-5</v>
      </c>
      <c r="J586" s="1" cm="1">
        <f t="array" ref="J586">SUMPRODUCT(("CT_CWODBDS"=[1]OUT_SyntheticFuels!$C$4:$C$1000)*1,("LTH"=[1]OUT_SyntheticFuels!$A$4:$A$1000)*1,("Var_Fout"=[1]OUT_SyntheticFuels!$B$4:$B$1000)*1,[1]OUT_SyntheticFuels!I$4:I$1000)</f>
        <v>4.5313189318860594E-5</v>
      </c>
      <c r="K586" s="1" cm="1">
        <f t="array" ref="K586">SUMPRODUCT(("CT_CWODBDS"=[1]OUT_SyntheticFuels!$C$4:$C$1000)*1,("LTH"=[1]OUT_SyntheticFuels!$A$4:$A$1000)*1,("Var_Fout"=[1]OUT_SyntheticFuels!$B$4:$B$1000)*1,[1]OUT_SyntheticFuels!J$4:J$1000)</f>
        <v>2.5842573829574977E-5</v>
      </c>
    </row>
    <row r="587" spans="2:11" x14ac:dyDescent="0.35">
      <c r="B587" s="5" t="s">
        <v>6</v>
      </c>
      <c r="C587" s="5" t="s">
        <v>7</v>
      </c>
      <c r="D587" t="s">
        <v>308</v>
      </c>
      <c r="E587" s="5" t="s">
        <v>8</v>
      </c>
      <c r="F587" s="1" cm="1">
        <f t="array" ref="F587">SUMPRODUCT(("CT_CWODBDSCCS"=[1]OUT_SyntheticFuels!$C$4:$C$1000)*1,("LTH"=[1]OUT_SyntheticFuels!$A$4:$A$1000)*1,("Var_Fout"=[1]OUT_SyntheticFuels!$B$4:$B$1000)*1,[1]OUT_SyntheticFuels!E$4:E$1000)</f>
        <v>0</v>
      </c>
      <c r="G587" s="1" cm="1">
        <f t="array" ref="G587">SUMPRODUCT(("CT_CWODBDSCCS"=[1]OUT_SyntheticFuels!$C$4:$C$1000)*1,("LTH"=[1]OUT_SyntheticFuels!$A$4:$A$1000)*1,("Var_Fout"=[1]OUT_SyntheticFuels!$B$4:$B$1000)*1,[1]OUT_SyntheticFuels!F$4:F$1000)</f>
        <v>0</v>
      </c>
      <c r="H587" s="1" cm="1">
        <f t="array" ref="H587">SUMPRODUCT(("CT_CWODBDSCCS"=[1]OUT_SyntheticFuels!$C$4:$C$1000)*1,("LTH"=[1]OUT_SyntheticFuels!$A$4:$A$1000)*1,("Var_Fout"=[1]OUT_SyntheticFuels!$B$4:$B$1000)*1,[1]OUT_SyntheticFuels!G$4:G$1000)</f>
        <v>0</v>
      </c>
      <c r="I587" s="1" cm="1">
        <f t="array" ref="I587">SUMPRODUCT(("CT_CWODBDSCCS"=[1]OUT_SyntheticFuels!$C$4:$C$1000)*1,("LTH"=[1]OUT_SyntheticFuels!$A$4:$A$1000)*1,("Var_Fout"=[1]OUT_SyntheticFuels!$B$4:$B$1000)*1,[1]OUT_SyntheticFuels!H$4:H$1000)</f>
        <v>0</v>
      </c>
      <c r="J587" s="1" cm="1">
        <f t="array" ref="J587">SUMPRODUCT(("CT_CWODBDSCCS"=[1]OUT_SyntheticFuels!$C$4:$C$1000)*1,("LTH"=[1]OUT_SyntheticFuels!$A$4:$A$1000)*1,("Var_Fout"=[1]OUT_SyntheticFuels!$B$4:$B$1000)*1,[1]OUT_SyntheticFuels!I$4:I$1000)</f>
        <v>2.1675409623816686E-5</v>
      </c>
      <c r="K587" s="1" cm="1">
        <f t="array" ref="K587">SUMPRODUCT(("CT_CWODBDSCCS"=[1]OUT_SyntheticFuels!$C$4:$C$1000)*1,("LTH"=[1]OUT_SyntheticFuels!$A$4:$A$1000)*1,("Var_Fout"=[1]OUT_SyntheticFuels!$B$4:$B$1000)*1,[1]OUT_SyntheticFuels!J$4:J$1000)</f>
        <v>0.9707845508573909</v>
      </c>
    </row>
    <row r="588" spans="2:11" x14ac:dyDescent="0.35">
      <c r="B588" s="9" t="s">
        <v>6</v>
      </c>
      <c r="C588" s="9" t="s">
        <v>7</v>
      </c>
      <c r="D588" s="2" t="s">
        <v>373</v>
      </c>
      <c r="E588" s="9" t="s">
        <v>8</v>
      </c>
      <c r="F588" s="3">
        <f>F589+F592</f>
        <v>1.9885576279109936</v>
      </c>
      <c r="G588" s="3">
        <f t="shared" ref="G588:K588" si="366">G589+G592</f>
        <v>1.8601693187652073</v>
      </c>
      <c r="H588" s="3">
        <f t="shared" si="366"/>
        <v>2.578072383588895</v>
      </c>
      <c r="I588" s="3">
        <f t="shared" si="366"/>
        <v>1.159639991634268E-4</v>
      </c>
      <c r="J588" s="3">
        <f t="shared" si="366"/>
        <v>5.0469475751240217E-4</v>
      </c>
      <c r="K588" s="3">
        <f t="shared" si="366"/>
        <v>7.414427079372782</v>
      </c>
    </row>
    <row r="589" spans="2:11" x14ac:dyDescent="0.35">
      <c r="B589" s="5" t="s">
        <v>6</v>
      </c>
      <c r="C589" s="5" t="s">
        <v>7</v>
      </c>
      <c r="D589" t="s">
        <v>905</v>
      </c>
      <c r="E589" s="5" t="s">
        <v>8</v>
      </c>
      <c r="F589" s="1">
        <f>SUM(F590:F591)</f>
        <v>1.9412110177226365</v>
      </c>
      <c r="G589" s="1">
        <f t="shared" ref="G589:K589" si="367">SUM(G590:G591)</f>
        <v>1.8158795730803214</v>
      </c>
      <c r="H589" s="1">
        <f t="shared" si="367"/>
        <v>2.5166897077891592</v>
      </c>
      <c r="I589" s="1">
        <f t="shared" si="367"/>
        <v>1.1320295156429759E-4</v>
      </c>
      <c r="J589" s="1">
        <f t="shared" si="367"/>
        <v>4.8944618637733104E-4</v>
      </c>
      <c r="K589" s="1">
        <f t="shared" si="367"/>
        <v>7.0931390155955576</v>
      </c>
    </row>
    <row r="590" spans="2:11" x14ac:dyDescent="0.35">
      <c r="B590" s="5" t="s">
        <v>6</v>
      </c>
      <c r="C590" s="5" t="s">
        <v>7</v>
      </c>
      <c r="D590" t="s">
        <v>325</v>
      </c>
      <c r="E590" s="5" t="s">
        <v>8</v>
      </c>
      <c r="F590" s="1" cm="1">
        <f t="array" ref="F590">SUMPRODUCT(("CT_CWODBDS"=[1]OUT_SyntheticFuels!$C$4:$C$1000)*1,("CWOD"=[1]OUT_SyntheticFuels!$A$4:$A$1000)*1,("Var_Fin"=[1]OUT_SyntheticFuels!$B$4:$B$1000)*1,[1]OUT_SyntheticFuels!E$4:E$1000)</f>
        <v>1.9412110177226365</v>
      </c>
      <c r="G590" s="1" cm="1">
        <f t="array" ref="G590">SUMPRODUCT(("CT_CWODBDS"=[1]OUT_SyntheticFuels!$C$4:$C$1000)*1,("CWOD"=[1]OUT_SyntheticFuels!$A$4:$A$1000)*1,("Var_Fin"=[1]OUT_SyntheticFuels!$B$4:$B$1000)*1,[1]OUT_SyntheticFuels!F$4:F$1000)</f>
        <v>1.8158795730803214</v>
      </c>
      <c r="H590" s="1" cm="1">
        <f t="array" ref="H590">SUMPRODUCT(("CT_CWODBDS"=[1]OUT_SyntheticFuels!$C$4:$C$1000)*1,("CWOD"=[1]OUT_SyntheticFuels!$A$4:$A$1000)*1,("Var_Fin"=[1]OUT_SyntheticFuels!$B$4:$B$1000)*1,[1]OUT_SyntheticFuels!G$4:G$1000)</f>
        <v>2.5166897077891592</v>
      </c>
      <c r="I590" s="1" cm="1">
        <f t="array" ref="I590">SUMPRODUCT(("CT_CWODBDS"=[1]OUT_SyntheticFuels!$C$4:$C$1000)*1,("CWOD"=[1]OUT_SyntheticFuels!$A$4:$A$1000)*1,("Var_Fin"=[1]OUT_SyntheticFuels!$B$4:$B$1000)*1,[1]OUT_SyntheticFuels!H$4:H$1000)</f>
        <v>1.1320295156429759E-4</v>
      </c>
      <c r="J590" s="1" cm="1">
        <f t="array" ref="J590">SUMPRODUCT(("CT_CWODBDS"=[1]OUT_SyntheticFuels!$C$4:$C$1000)*1,("CWOD"=[1]OUT_SyntheticFuels!$A$4:$A$1000)*1,("Var_Fin"=[1]OUT_SyntheticFuels!$B$4:$B$1000)*1,[1]OUT_SyntheticFuels!I$4:I$1000)</f>
        <v>3.3107675118998296E-4</v>
      </c>
      <c r="K590" s="1" cm="1">
        <f t="array" ref="K590">SUMPRODUCT(("CT_CWODBDS"=[1]OUT_SyntheticFuels!$C$4:$C$1000)*1,("CWOD"=[1]OUT_SyntheticFuels!$A$4:$A$1000)*1,("Var_Fin"=[1]OUT_SyntheticFuels!$B$4:$B$1000)*1,[1]OUT_SyntheticFuels!J$4:J$1000)</f>
        <v>1.8881644648044622E-4</v>
      </c>
    </row>
    <row r="591" spans="2:11" x14ac:dyDescent="0.35">
      <c r="B591" s="5" t="s">
        <v>6</v>
      </c>
      <c r="C591" s="5" t="s">
        <v>7</v>
      </c>
      <c r="D591" t="s">
        <v>326</v>
      </c>
      <c r="E591" s="5" t="s">
        <v>8</v>
      </c>
      <c r="F591" s="1" cm="1">
        <f t="array" ref="F591">SUMPRODUCT(("CT_CWODBDSCCS"=[1]OUT_SyntheticFuels!$C$4:$C$1000)*1,("CWOD"=[1]OUT_SyntheticFuels!$A$4:$A$1000)*1,("Var_Fin"=[1]OUT_SyntheticFuels!$B$4:$B$1000)*1,[1]OUT_SyntheticFuels!E$4:E$1000)</f>
        <v>0</v>
      </c>
      <c r="G591" s="1" cm="1">
        <f t="array" ref="G591">SUMPRODUCT(("CT_CWODBDSCCS"=[1]OUT_SyntheticFuels!$C$4:$C$1000)*1,("CWOD"=[1]OUT_SyntheticFuels!$A$4:$A$1000)*1,("Var_Fin"=[1]OUT_SyntheticFuels!$B$4:$B$1000)*1,[1]OUT_SyntheticFuels!F$4:F$1000)</f>
        <v>0</v>
      </c>
      <c r="H591" s="1" cm="1">
        <f t="array" ref="H591">SUMPRODUCT(("CT_CWODBDSCCS"=[1]OUT_SyntheticFuels!$C$4:$C$1000)*1,("CWOD"=[1]OUT_SyntheticFuels!$A$4:$A$1000)*1,("Var_Fin"=[1]OUT_SyntheticFuels!$B$4:$B$1000)*1,[1]OUT_SyntheticFuels!G$4:G$1000)</f>
        <v>0</v>
      </c>
      <c r="I591" s="1" cm="1">
        <f t="array" ref="I591">SUMPRODUCT(("CT_CWODBDSCCS"=[1]OUT_SyntheticFuels!$C$4:$C$1000)*1,("CWOD"=[1]OUT_SyntheticFuels!$A$4:$A$1000)*1,("Var_Fin"=[1]OUT_SyntheticFuels!$B$4:$B$1000)*1,[1]OUT_SyntheticFuels!H$4:H$1000)</f>
        <v>0</v>
      </c>
      <c r="J591" s="1" cm="1">
        <f t="array" ref="J591">SUMPRODUCT(("CT_CWODBDSCCS"=[1]OUT_SyntheticFuels!$C$4:$C$1000)*1,("CWOD"=[1]OUT_SyntheticFuels!$A$4:$A$1000)*1,("Var_Fin"=[1]OUT_SyntheticFuels!$B$4:$B$1000)*1,[1]OUT_SyntheticFuels!I$4:I$1000)</f>
        <v>1.5836943518734805E-4</v>
      </c>
      <c r="K591" s="1" cm="1">
        <f t="array" ref="K591">SUMPRODUCT(("CT_CWODBDSCCS"=[1]OUT_SyntheticFuels!$C$4:$C$1000)*1,("CWOD"=[1]OUT_SyntheticFuels!$A$4:$A$1000)*1,("Var_Fin"=[1]OUT_SyntheticFuels!$B$4:$B$1000)*1,[1]OUT_SyntheticFuels!J$4:J$1000)</f>
        <v>7.0929501991490769</v>
      </c>
    </row>
    <row r="592" spans="2:11" x14ac:dyDescent="0.35">
      <c r="B592" s="5" t="s">
        <v>6</v>
      </c>
      <c r="C592" s="5" t="s">
        <v>7</v>
      </c>
      <c r="D592" t="s">
        <v>906</v>
      </c>
      <c r="E592" s="5" t="s">
        <v>8</v>
      </c>
      <c r="F592" s="1">
        <f>SUM(F593:F594)</f>
        <v>4.7346610188357022E-2</v>
      </c>
      <c r="G592" s="1">
        <f t="shared" ref="G592:K592" si="368">SUM(G593:G594)</f>
        <v>4.4289745684885848E-2</v>
      </c>
      <c r="H592" s="1">
        <f t="shared" si="368"/>
        <v>6.1382675799735636E-2</v>
      </c>
      <c r="I592" s="1">
        <f t="shared" si="368"/>
        <v>2.7610475991292093E-6</v>
      </c>
      <c r="J592" s="1">
        <f t="shared" si="368"/>
        <v>1.52485711350711E-5</v>
      </c>
      <c r="K592" s="1">
        <f t="shared" si="368"/>
        <v>0.3212880637772243</v>
      </c>
    </row>
    <row r="593" spans="2:11" x14ac:dyDescent="0.35">
      <c r="B593" s="5" t="s">
        <v>6</v>
      </c>
      <c r="C593" s="5" t="s">
        <v>7</v>
      </c>
      <c r="D593" t="s">
        <v>327</v>
      </c>
      <c r="E593" s="5" t="s">
        <v>8</v>
      </c>
      <c r="F593" s="1" cm="1">
        <f t="array" ref="F593">SUMPRODUCT(("CT_CWODBDS"=[1]OUT_SyntheticFuels!$C$4:$C$1000)*1,("Celc"=[1]OUT_SyntheticFuels!$A$4:$A$1000)*1,("Var_Fin"=[1]OUT_SyntheticFuels!$B$4:$B$1000)*1,[1]OUT_SyntheticFuels!E$4:E$1000)</f>
        <v>4.7346610188357022E-2</v>
      </c>
      <c r="G593" s="1" cm="1">
        <f t="array" ref="G593">SUMPRODUCT(("CT_CWODBDS"=[1]OUT_SyntheticFuels!$C$4:$C$1000)*1,("Celc"=[1]OUT_SyntheticFuels!$A$4:$A$1000)*1,("Var_Fin"=[1]OUT_SyntheticFuels!$B$4:$B$1000)*1,[1]OUT_SyntheticFuels!F$4:F$1000)</f>
        <v>4.4289745684885848E-2</v>
      </c>
      <c r="H593" s="1" cm="1">
        <f t="array" ref="H593">SUMPRODUCT(("CT_CWODBDS"=[1]OUT_SyntheticFuels!$C$4:$C$1000)*1,("Celc"=[1]OUT_SyntheticFuels!$A$4:$A$1000)*1,("Var_Fin"=[1]OUT_SyntheticFuels!$B$4:$B$1000)*1,[1]OUT_SyntheticFuels!G$4:G$1000)</f>
        <v>6.1382675799735636E-2</v>
      </c>
      <c r="I593" s="1" cm="1">
        <f t="array" ref="I593">SUMPRODUCT(("CT_CWODBDS"=[1]OUT_SyntheticFuels!$C$4:$C$1000)*1,("Celc"=[1]OUT_SyntheticFuels!$A$4:$A$1000)*1,("Var_Fin"=[1]OUT_SyntheticFuels!$B$4:$B$1000)*1,[1]OUT_SyntheticFuels!H$4:H$1000)</f>
        <v>2.7610475991292093E-6</v>
      </c>
      <c r="J593" s="1" cm="1">
        <f t="array" ref="J593">SUMPRODUCT(("CT_CWODBDS"=[1]OUT_SyntheticFuels!$C$4:$C$1000)*1,("Celc"=[1]OUT_SyntheticFuels!$A$4:$A$1000)*1,("Var_Fin"=[1]OUT_SyntheticFuels!$B$4:$B$1000)*1,[1]OUT_SyntheticFuels!I$4:I$1000)</f>
        <v>8.0750427119508057E-6</v>
      </c>
      <c r="K593" s="1" cm="1">
        <f t="array" ref="K593">SUMPRODUCT(("CT_CWODBDS"=[1]OUT_SyntheticFuels!$C$4:$C$1000)*1,("Celc"=[1]OUT_SyntheticFuels!$A$4:$A$1000)*1,("Var_Fin"=[1]OUT_SyntheticFuels!$B$4:$B$1000)*1,[1]OUT_SyntheticFuels!J$4:J$1000)</f>
        <v>4.6052791824499073E-6</v>
      </c>
    </row>
    <row r="594" spans="2:11" x14ac:dyDescent="0.35">
      <c r="B594" s="5" t="s">
        <v>6</v>
      </c>
      <c r="C594" s="5" t="s">
        <v>7</v>
      </c>
      <c r="D594" t="s">
        <v>328</v>
      </c>
      <c r="E594" s="5" t="s">
        <v>8</v>
      </c>
      <c r="F594" s="1" cm="1">
        <f t="array" ref="F594">SUMPRODUCT(("CT_CWODBDSCCS"=[1]OUT_SyntheticFuels!$C$4:$C$1000)*1,("Celc"=[1]OUT_SyntheticFuels!$A$4:$A$1000)*1,("Var_Fin"=[1]OUT_SyntheticFuels!$B$4:$B$1000)*1,[1]OUT_SyntheticFuels!E$4:E$1000)</f>
        <v>0</v>
      </c>
      <c r="G594" s="1" cm="1">
        <f t="array" ref="G594">SUMPRODUCT(("CT_CWODBDSCCS"=[1]OUT_SyntheticFuels!$C$4:$C$1000)*1,("Celc"=[1]OUT_SyntheticFuels!$A$4:$A$1000)*1,("Var_Fin"=[1]OUT_SyntheticFuels!$B$4:$B$1000)*1,[1]OUT_SyntheticFuels!F$4:F$1000)</f>
        <v>0</v>
      </c>
      <c r="H594" s="1" cm="1">
        <f t="array" ref="H594">SUMPRODUCT(("CT_CWODBDSCCS"=[1]OUT_SyntheticFuels!$C$4:$C$1000)*1,("Celc"=[1]OUT_SyntheticFuels!$A$4:$A$1000)*1,("Var_Fin"=[1]OUT_SyntheticFuels!$B$4:$B$1000)*1,[1]OUT_SyntheticFuels!G$4:G$1000)</f>
        <v>0</v>
      </c>
      <c r="I594" s="1" cm="1">
        <f t="array" ref="I594">SUMPRODUCT(("CT_CWODBDSCCS"=[1]OUT_SyntheticFuels!$C$4:$C$1000)*1,("Celc"=[1]OUT_SyntheticFuels!$A$4:$A$1000)*1,("Var_Fin"=[1]OUT_SyntheticFuels!$B$4:$B$1000)*1,[1]OUT_SyntheticFuels!H$4:H$1000)</f>
        <v>0</v>
      </c>
      <c r="J594" s="1" cm="1">
        <f t="array" ref="J594">SUMPRODUCT(("CT_CWODBDSCCS"=[1]OUT_SyntheticFuels!$C$4:$C$1000)*1,("Celc"=[1]OUT_SyntheticFuels!$A$4:$A$1000)*1,("Var_Fin"=[1]OUT_SyntheticFuels!$B$4:$B$1000)*1,[1]OUT_SyntheticFuels!I$4:I$1000)</f>
        <v>7.1735284231202942E-6</v>
      </c>
      <c r="K594" s="1" cm="1">
        <f t="array" ref="K594">SUMPRODUCT(("CT_CWODBDSCCS"=[1]OUT_SyntheticFuels!$C$4:$C$1000)*1,("Celc"=[1]OUT_SyntheticFuels!$A$4:$A$1000)*1,("Var_Fin"=[1]OUT_SyntheticFuels!$B$4:$B$1000)*1,[1]OUT_SyntheticFuels!J$4:J$1000)</f>
        <v>0.32128345849804185</v>
      </c>
    </row>
    <row r="595" spans="2:11" x14ac:dyDescent="0.35">
      <c r="B595" s="9" t="s">
        <v>6</v>
      </c>
      <c r="C595" s="9" t="s">
        <v>7</v>
      </c>
      <c r="D595" s="2" t="s">
        <v>306</v>
      </c>
      <c r="E595" s="9" t="s">
        <v>240</v>
      </c>
      <c r="F595" t="s">
        <v>292</v>
      </c>
      <c r="G595" t="s">
        <v>292</v>
      </c>
      <c r="H595" t="s">
        <v>292</v>
      </c>
      <c r="I595" t="s">
        <v>292</v>
      </c>
      <c r="J595" t="s">
        <v>292</v>
      </c>
      <c r="K595" t="s">
        <v>292</v>
      </c>
    </row>
    <row r="596" spans="2:11" x14ac:dyDescent="0.35">
      <c r="B596" s="5" t="s">
        <v>6</v>
      </c>
      <c r="C596" s="5" t="s">
        <v>7</v>
      </c>
      <c r="D596" t="s">
        <v>309</v>
      </c>
      <c r="E596" s="5" t="s">
        <v>240</v>
      </c>
      <c r="F596" s="4">
        <f>IFERROR(SUM(F582,F586)/SUM(F590,F593),"-")</f>
        <v>0.47619047619047622</v>
      </c>
      <c r="G596" s="4">
        <f t="shared" ref="G596:K597" si="369">IFERROR(SUM(G582,G586)/SUM(G590,G593),"-")</f>
        <v>0.47619047619047589</v>
      </c>
      <c r="H596" s="4">
        <f t="shared" si="369"/>
        <v>0.47619047619047622</v>
      </c>
      <c r="I596" s="4">
        <f t="shared" si="369"/>
        <v>0.47619047619047611</v>
      </c>
      <c r="J596" s="4">
        <f t="shared" si="369"/>
        <v>0.4761904761904765</v>
      </c>
      <c r="K596" s="4">
        <f t="shared" si="369"/>
        <v>0.47619047619047616</v>
      </c>
    </row>
    <row r="597" spans="2:11" x14ac:dyDescent="0.35">
      <c r="B597" s="5" t="s">
        <v>6</v>
      </c>
      <c r="C597" s="5" t="s">
        <v>7</v>
      </c>
      <c r="D597" t="s">
        <v>310</v>
      </c>
      <c r="E597" s="5" t="s">
        <v>240</v>
      </c>
      <c r="F597" s="4" t="str">
        <f>IFERROR(SUM(F583,F587)/SUM(F591,F594),"-")</f>
        <v>-</v>
      </c>
      <c r="G597" s="4" t="str">
        <f t="shared" si="369"/>
        <v>-</v>
      </c>
      <c r="H597" s="4" t="str">
        <f t="shared" si="369"/>
        <v>-</v>
      </c>
      <c r="I597" s="4" t="str">
        <f t="shared" si="369"/>
        <v>-</v>
      </c>
      <c r="J597" s="4">
        <f t="shared" si="369"/>
        <v>0.46666666666666645</v>
      </c>
      <c r="K597" s="4">
        <f t="shared" si="369"/>
        <v>0.46666666666666679</v>
      </c>
    </row>
    <row r="598" spans="2:11" x14ac:dyDescent="0.35">
      <c r="B598" s="9" t="s">
        <v>6</v>
      </c>
      <c r="C598" s="9" t="s">
        <v>7</v>
      </c>
      <c r="D598" s="2" t="s">
        <v>376</v>
      </c>
      <c r="E598" s="9" t="s">
        <v>8</v>
      </c>
      <c r="F598" s="1">
        <f>[1]Other_transformation!B$12</f>
        <v>0.19138145545463628</v>
      </c>
      <c r="G598" s="1">
        <f>[1]Other_transformation!C$12</f>
        <v>2.2578558466633577E-5</v>
      </c>
      <c r="H598" s="1">
        <f>[1]Other_transformation!D$12</f>
        <v>0.19158190060313723</v>
      </c>
      <c r="I598" s="1">
        <f>[1]Other_transformation!E$12</f>
        <v>2.6975007774322861E-5</v>
      </c>
      <c r="J598" s="1">
        <f>[1]Other_transformation!F$12</f>
        <v>9.6611944139535054E-5</v>
      </c>
      <c r="K598" s="1">
        <f>[1]Other_transformation!G$12</f>
        <v>9.4748735144919245E-5</v>
      </c>
    </row>
    <row r="599" spans="2:11" x14ac:dyDescent="0.35">
      <c r="B599" s="5" t="s">
        <v>6</v>
      </c>
      <c r="C599" s="5" t="s">
        <v>7</v>
      </c>
      <c r="D599" t="s">
        <v>2165</v>
      </c>
      <c r="E599" t="str">
        <f>E598</f>
        <v>PJ/yr.</v>
      </c>
      <c r="F599" s="1">
        <f>SUM(F600:F601)</f>
        <v>0.19138145545463628</v>
      </c>
      <c r="G599" s="1">
        <f t="shared" ref="G599:K599" si="370">SUM(G600:G601)</f>
        <v>2.2578558466633577E-5</v>
      </c>
      <c r="H599" s="1">
        <f t="shared" si="370"/>
        <v>0.19158190060313723</v>
      </c>
      <c r="I599" s="1">
        <f t="shared" si="370"/>
        <v>2.6975007774322861E-5</v>
      </c>
      <c r="J599" s="1">
        <f t="shared" si="370"/>
        <v>9.6611944139535054E-5</v>
      </c>
      <c r="K599" s="1">
        <f t="shared" si="370"/>
        <v>9.4748735144919245E-5</v>
      </c>
    </row>
    <row r="600" spans="2:11" x14ac:dyDescent="0.35">
      <c r="B600" s="5" t="s">
        <v>6</v>
      </c>
      <c r="C600" s="5" t="s">
        <v>7</v>
      </c>
      <c r="D600" t="s">
        <v>2166</v>
      </c>
      <c r="E600" t="str">
        <f t="shared" ref="E600:E601" si="371">E599</f>
        <v>PJ/yr.</v>
      </c>
      <c r="F600" s="1" cm="1">
        <f t="array" ref="F600">SUMPRODUCT(("CT_CWODETH"=[1]OUT_SyntheticFuels!$C$4:$C$1000)*1,("ETH"=[1]OUT_SyntheticFuels!$A$4:$A$1000)*1,("Var_Fout"=[1]OUT_SyntheticFuels!$B$4:$B$1000)*1,[1]OUT_SyntheticFuels!E$4:E$1000)</f>
        <v>0.19138145545463628</v>
      </c>
      <c r="G600" s="1" cm="1">
        <f t="array" ref="G600">SUMPRODUCT(("CT_CWODETH"=[1]OUT_SyntheticFuels!$C$4:$C$1000)*1,("ETH"=[1]OUT_SyntheticFuels!$A$4:$A$1000)*1,("Var_Fout"=[1]OUT_SyntheticFuels!$B$4:$B$1000)*1,[1]OUT_SyntheticFuels!F$4:F$1000)</f>
        <v>2.2578558466633577E-5</v>
      </c>
      <c r="H600" s="1" cm="1">
        <f t="array" ref="H600">SUMPRODUCT(("CT_CWODETH"=[1]OUT_SyntheticFuels!$C$4:$C$1000)*1,("ETH"=[1]OUT_SyntheticFuels!$A$4:$A$1000)*1,("Var_Fout"=[1]OUT_SyntheticFuels!$B$4:$B$1000)*1,[1]OUT_SyntheticFuels!G$4:G$1000)</f>
        <v>0.19158190060313723</v>
      </c>
      <c r="I600" s="1" cm="1">
        <f t="array" ref="I600">SUMPRODUCT(("CT_CWODETH"=[1]OUT_SyntheticFuels!$C$4:$C$1000)*1,("ETH"=[1]OUT_SyntheticFuels!$A$4:$A$1000)*1,("Var_Fout"=[1]OUT_SyntheticFuels!$B$4:$B$1000)*1,[1]OUT_SyntheticFuels!H$4:H$1000)</f>
        <v>2.6975007774322861E-5</v>
      </c>
      <c r="J600" s="1" cm="1">
        <f t="array" ref="J600">SUMPRODUCT(("CT_CWODETH"=[1]OUT_SyntheticFuels!$C$4:$C$1000)*1,("ETH"=[1]OUT_SyntheticFuels!$A$4:$A$1000)*1,("Var_Fout"=[1]OUT_SyntheticFuels!$B$4:$B$1000)*1,[1]OUT_SyntheticFuels!I$4:I$1000)</f>
        <v>5.8319732389589752E-5</v>
      </c>
      <c r="K600" s="1" cm="1">
        <f t="array" ref="K600">SUMPRODUCT(("CT_CWODETH"=[1]OUT_SyntheticFuels!$C$4:$C$1000)*1,("ETH"=[1]OUT_SyntheticFuels!$A$4:$A$1000)*1,("Var_Fout"=[1]OUT_SyntheticFuels!$B$4:$B$1000)*1,[1]OUT_SyntheticFuels!J$4:J$1000)</f>
        <v>4.3216986988502565E-5</v>
      </c>
    </row>
    <row r="601" spans="2:11" x14ac:dyDescent="0.35">
      <c r="B601" s="5" t="s">
        <v>6</v>
      </c>
      <c r="C601" s="5" t="s">
        <v>7</v>
      </c>
      <c r="D601" t="s">
        <v>2167</v>
      </c>
      <c r="E601" t="str">
        <f t="shared" si="371"/>
        <v>PJ/yr.</v>
      </c>
      <c r="F601" s="1" cm="1">
        <f t="array" ref="F601">SUMPRODUCT(("CT_CWODETHCCS"=[1]OUT_SyntheticFuels!$C$4:$C$1000)*1,("ETH"=[1]OUT_SyntheticFuels!$A$4:$A$1000)*1,("Var_Fout"=[1]OUT_SyntheticFuels!$B$4:$B$1000)*1,[1]OUT_SyntheticFuels!E$4:E$1000)</f>
        <v>0</v>
      </c>
      <c r="G601" s="1" cm="1">
        <f t="array" ref="G601">SUMPRODUCT(("CT_CWODETHCCS"=[1]OUT_SyntheticFuels!$C$4:$C$1000)*1,("ETH"=[1]OUT_SyntheticFuels!$A$4:$A$1000)*1,("Var_Fout"=[1]OUT_SyntheticFuels!$B$4:$B$1000)*1,[1]OUT_SyntheticFuels!F$4:F$1000)</f>
        <v>0</v>
      </c>
      <c r="H601" s="1" cm="1">
        <f t="array" ref="H601">SUMPRODUCT(("CT_CWODETHCCS"=[1]OUT_SyntheticFuels!$C$4:$C$1000)*1,("ETH"=[1]OUT_SyntheticFuels!$A$4:$A$1000)*1,("Var_Fout"=[1]OUT_SyntheticFuels!$B$4:$B$1000)*1,[1]OUT_SyntheticFuels!G$4:G$1000)</f>
        <v>0</v>
      </c>
      <c r="I601" s="1" cm="1">
        <f t="array" ref="I601">SUMPRODUCT(("CT_CWODETHCCS"=[1]OUT_SyntheticFuels!$C$4:$C$1000)*1,("ETH"=[1]OUT_SyntheticFuels!$A$4:$A$1000)*1,("Var_Fout"=[1]OUT_SyntheticFuels!$B$4:$B$1000)*1,[1]OUT_SyntheticFuels!H$4:H$1000)</f>
        <v>0</v>
      </c>
      <c r="J601" s="1" cm="1">
        <f t="array" ref="J601">SUMPRODUCT(("CT_CWODETHCCS"=[1]OUT_SyntheticFuels!$C$4:$C$1000)*1,("ETH"=[1]OUT_SyntheticFuels!$A$4:$A$1000)*1,("Var_Fout"=[1]OUT_SyntheticFuels!$B$4:$B$1000)*1,[1]OUT_SyntheticFuels!I$4:I$1000)</f>
        <v>3.8292211749945302E-5</v>
      </c>
      <c r="K601" s="1" cm="1">
        <f t="array" ref="K601">SUMPRODUCT(("CT_CWODETHCCS"=[1]OUT_SyntheticFuels!$C$4:$C$1000)*1,("ETH"=[1]OUT_SyntheticFuels!$A$4:$A$1000)*1,("Var_Fout"=[1]OUT_SyntheticFuels!$B$4:$B$1000)*1,[1]OUT_SyntheticFuels!J$4:J$1000)</f>
        <v>5.1531748156416687E-5</v>
      </c>
    </row>
    <row r="602" spans="2:11" x14ac:dyDescent="0.35">
      <c r="B602" s="9" t="s">
        <v>6</v>
      </c>
      <c r="C602" s="9" t="s">
        <v>7</v>
      </c>
      <c r="D602" s="2" t="s">
        <v>378</v>
      </c>
      <c r="E602" s="9" t="s">
        <v>8</v>
      </c>
      <c r="F602" s="3">
        <f>F603+F606</f>
        <v>0.71385282884579326</v>
      </c>
      <c r="G602" s="3">
        <f t="shared" ref="G602:K602" si="372">G603+G606</f>
        <v>8.4218023080543199E-5</v>
      </c>
      <c r="H602" s="3">
        <f t="shared" si="372"/>
        <v>0.71460048924970176</v>
      </c>
      <c r="I602" s="3">
        <f t="shared" si="372"/>
        <v>1.0061677899822419E-4</v>
      </c>
      <c r="J602" s="3">
        <f t="shared" si="372"/>
        <v>3.779769690454406E-4</v>
      </c>
      <c r="K602" s="3">
        <f t="shared" si="372"/>
        <v>3.771173862425006E-4</v>
      </c>
    </row>
    <row r="603" spans="2:11" x14ac:dyDescent="0.35">
      <c r="B603" s="5" t="s">
        <v>6</v>
      </c>
      <c r="C603" s="5" t="s">
        <v>7</v>
      </c>
      <c r="D603" t="s">
        <v>907</v>
      </c>
      <c r="E603" s="5" t="s">
        <v>8</v>
      </c>
      <c r="F603" s="1">
        <f>SUM(F604:F605)</f>
        <v>0.39998724190018975</v>
      </c>
      <c r="G603" s="1">
        <f t="shared" ref="G603:K603" si="373">SUM(G604:G605)</f>
        <v>4.718918719526415E-5</v>
      </c>
      <c r="H603" s="1">
        <f t="shared" si="373"/>
        <v>0.40040617226055664</v>
      </c>
      <c r="I603" s="1">
        <f t="shared" si="373"/>
        <v>5.637776624833474E-5</v>
      </c>
      <c r="J603" s="1">
        <f t="shared" si="373"/>
        <v>2.0191896325162824E-4</v>
      </c>
      <c r="K603" s="1">
        <f t="shared" si="373"/>
        <v>1.9802485645288126E-4</v>
      </c>
    </row>
    <row r="604" spans="2:11" x14ac:dyDescent="0.35">
      <c r="B604" s="5" t="s">
        <v>6</v>
      </c>
      <c r="C604" s="5" t="s">
        <v>7</v>
      </c>
      <c r="D604" t="s">
        <v>321</v>
      </c>
      <c r="E604" s="5" t="s">
        <v>8</v>
      </c>
      <c r="F604" s="1" cm="1">
        <f t="array" ref="F604">SUMPRODUCT(("CT_CWODETH"=[1]OUT_SyntheticFuels!$C$4:$C$1000)*1,("cwod"=[1]OUT_SyntheticFuels!$A$4:$A$1000)*1,("Var_Fin"=[1]OUT_SyntheticFuels!$B$4:$B$1000)*1,[1]OUT_SyntheticFuels!E$4:E$1000)</f>
        <v>0.39998724190018975</v>
      </c>
      <c r="G604" s="1" cm="1">
        <f t="array" ref="G604">SUMPRODUCT(("CT_CWODETH"=[1]OUT_SyntheticFuels!$C$4:$C$1000)*1,("cwod"=[1]OUT_SyntheticFuels!$A$4:$A$1000)*1,("Var_Fin"=[1]OUT_SyntheticFuels!$B$4:$B$1000)*1,[1]OUT_SyntheticFuels!F$4:F$1000)</f>
        <v>4.718918719526415E-5</v>
      </c>
      <c r="H604" s="1" cm="1">
        <f t="array" ref="H604">SUMPRODUCT(("CT_CWODETH"=[1]OUT_SyntheticFuels!$C$4:$C$1000)*1,("cwod"=[1]OUT_SyntheticFuels!$A$4:$A$1000)*1,("Var_Fin"=[1]OUT_SyntheticFuels!$B$4:$B$1000)*1,[1]OUT_SyntheticFuels!G$4:G$1000)</f>
        <v>0.40040617226055664</v>
      </c>
      <c r="I604" s="1" cm="1">
        <f t="array" ref="I604">SUMPRODUCT(("CT_CWODETH"=[1]OUT_SyntheticFuels!$C$4:$C$1000)*1,("cwod"=[1]OUT_SyntheticFuels!$A$4:$A$1000)*1,("Var_Fin"=[1]OUT_SyntheticFuels!$B$4:$B$1000)*1,[1]OUT_SyntheticFuels!H$4:H$1000)</f>
        <v>5.637776624833474E-5</v>
      </c>
      <c r="J604" s="1" cm="1">
        <f t="array" ref="J604">SUMPRODUCT(("CT_CWODETH"=[1]OUT_SyntheticFuels!$C$4:$C$1000)*1,("cwod"=[1]OUT_SyntheticFuels!$A$4:$A$1000)*1,("Var_Fin"=[1]OUT_SyntheticFuels!$B$4:$B$1000)*1,[1]OUT_SyntheticFuels!I$4:I$1000)</f>
        <v>1.2188824069424268E-4</v>
      </c>
      <c r="K604" s="1" cm="1">
        <f t="array" ref="K604">SUMPRODUCT(("CT_CWODETH"=[1]OUT_SyntheticFuels!$C$4:$C$1000)*1,("cwod"=[1]OUT_SyntheticFuels!$A$4:$A$1000)*1,("Var_Fin"=[1]OUT_SyntheticFuels!$B$4:$B$1000)*1,[1]OUT_SyntheticFuels!J$4:J$1000)</f>
        <v>9.0323502805970425E-5</v>
      </c>
    </row>
    <row r="605" spans="2:11" x14ac:dyDescent="0.35">
      <c r="B605" s="5" t="s">
        <v>6</v>
      </c>
      <c r="C605" s="5" t="s">
        <v>7</v>
      </c>
      <c r="D605" t="s">
        <v>322</v>
      </c>
      <c r="E605" s="5" t="s">
        <v>8</v>
      </c>
      <c r="F605" s="1" cm="1">
        <f t="array" ref="F605">SUMPRODUCT(("CT_CWODETHCCS"=[1]OUT_SyntheticFuels!$C$4:$C$1000)*1,("cwod"=[1]OUT_SyntheticFuels!$A$4:$A$1000)*1,("Var_Fin"=[1]OUT_SyntheticFuels!$B$4:$B$1000)*1,[1]OUT_SyntheticFuels!E$4:E$1000)</f>
        <v>0</v>
      </c>
      <c r="G605" s="1" cm="1">
        <f t="array" ref="G605">SUMPRODUCT(("CT_CWODETHCCS"=[1]OUT_SyntheticFuels!$C$4:$C$1000)*1,("cwod"=[1]OUT_SyntheticFuels!$A$4:$A$1000)*1,("Var_Fin"=[1]OUT_SyntheticFuels!$B$4:$B$1000)*1,[1]OUT_SyntheticFuels!F$4:F$1000)</f>
        <v>0</v>
      </c>
      <c r="H605" s="1" cm="1">
        <f t="array" ref="H605">SUMPRODUCT(("CT_CWODETHCCS"=[1]OUT_SyntheticFuels!$C$4:$C$1000)*1,("cwod"=[1]OUT_SyntheticFuels!$A$4:$A$1000)*1,("Var_Fin"=[1]OUT_SyntheticFuels!$B$4:$B$1000)*1,[1]OUT_SyntheticFuels!G$4:G$1000)</f>
        <v>0</v>
      </c>
      <c r="I605" s="1" cm="1">
        <f t="array" ref="I605">SUMPRODUCT(("CT_CWODETHCCS"=[1]OUT_SyntheticFuels!$C$4:$C$1000)*1,("cwod"=[1]OUT_SyntheticFuels!$A$4:$A$1000)*1,("Var_Fin"=[1]OUT_SyntheticFuels!$B$4:$B$1000)*1,[1]OUT_SyntheticFuels!H$4:H$1000)</f>
        <v>0</v>
      </c>
      <c r="J605" s="1" cm="1">
        <f t="array" ref="J605">SUMPRODUCT(("CT_CWODETHCCS"=[1]OUT_SyntheticFuels!$C$4:$C$1000)*1,("cwod"=[1]OUT_SyntheticFuels!$A$4:$A$1000)*1,("Var_Fin"=[1]OUT_SyntheticFuels!$B$4:$B$1000)*1,[1]OUT_SyntheticFuels!I$4:I$1000)</f>
        <v>8.0030722557385565E-5</v>
      </c>
      <c r="K605" s="1" cm="1">
        <f t="array" ref="K605">SUMPRODUCT(("CT_CWODETHCCS"=[1]OUT_SyntheticFuels!$C$4:$C$1000)*1,("cwod"=[1]OUT_SyntheticFuels!$A$4:$A$1000)*1,("Var_Fin"=[1]OUT_SyntheticFuels!$B$4:$B$1000)*1,[1]OUT_SyntheticFuels!J$4:J$1000)</f>
        <v>1.0770135364691083E-4</v>
      </c>
    </row>
    <row r="606" spans="2:11" x14ac:dyDescent="0.35">
      <c r="B606" s="5" t="s">
        <v>6</v>
      </c>
      <c r="C606" s="5" t="s">
        <v>7</v>
      </c>
      <c r="D606" t="s">
        <v>908</v>
      </c>
      <c r="E606" s="5" t="s">
        <v>8</v>
      </c>
      <c r="F606" s="1">
        <f>SUM(F607:F608)</f>
        <v>0.31386558694560357</v>
      </c>
      <c r="G606" s="1">
        <f t="shared" ref="G606:K606" si="374">SUM(G607:G608)</f>
        <v>3.7028835885279049E-5</v>
      </c>
      <c r="H606" s="1">
        <f t="shared" si="374"/>
        <v>0.31419431698914507</v>
      </c>
      <c r="I606" s="1">
        <f t="shared" si="374"/>
        <v>4.423901274988945E-5</v>
      </c>
      <c r="J606" s="1">
        <f t="shared" si="374"/>
        <v>1.7605800579381233E-4</v>
      </c>
      <c r="K606" s="1">
        <f t="shared" si="374"/>
        <v>1.7909252978961935E-4</v>
      </c>
    </row>
    <row r="607" spans="2:11" x14ac:dyDescent="0.35">
      <c r="B607" s="5" t="s">
        <v>6</v>
      </c>
      <c r="C607" s="5" t="s">
        <v>7</v>
      </c>
      <c r="D607" t="s">
        <v>323</v>
      </c>
      <c r="E607" s="5" t="s">
        <v>8</v>
      </c>
      <c r="F607" s="1" cm="1">
        <f t="array" ref="F607">SUMPRODUCT(("CT_CWODETH"=[1]OUT_SyntheticFuels!$C$4:$C$1000)*1,("celc"=[1]OUT_SyntheticFuels!$A$4:$A$1000)*1,("Var_Fin"=[1]OUT_SyntheticFuels!$B$4:$B$1000)*1,[1]OUT_SyntheticFuels!E$4:E$1000)</f>
        <v>0.31386558694560357</v>
      </c>
      <c r="G607" s="1" cm="1">
        <f t="array" ref="G607">SUMPRODUCT(("CT_CWODETH"=[1]OUT_SyntheticFuels!$C$4:$C$1000)*1,("celc"=[1]OUT_SyntheticFuels!$A$4:$A$1000)*1,("Var_Fin"=[1]OUT_SyntheticFuels!$B$4:$B$1000)*1,[1]OUT_SyntheticFuels!F$4:F$1000)</f>
        <v>3.7028835885279049E-5</v>
      </c>
      <c r="H607" s="1" cm="1">
        <f t="array" ref="H607">SUMPRODUCT(("CT_CWODETH"=[1]OUT_SyntheticFuels!$C$4:$C$1000)*1,("celc"=[1]OUT_SyntheticFuels!$A$4:$A$1000)*1,("Var_Fin"=[1]OUT_SyntheticFuels!$B$4:$B$1000)*1,[1]OUT_SyntheticFuels!G$4:G$1000)</f>
        <v>0.31419431698914507</v>
      </c>
      <c r="I607" s="1" cm="1">
        <f t="array" ref="I607">SUMPRODUCT(("CT_CWODETH"=[1]OUT_SyntheticFuels!$C$4:$C$1000)*1,("celc"=[1]OUT_SyntheticFuels!$A$4:$A$1000)*1,("Var_Fin"=[1]OUT_SyntheticFuels!$B$4:$B$1000)*1,[1]OUT_SyntheticFuels!H$4:H$1000)</f>
        <v>4.423901274988945E-5</v>
      </c>
      <c r="J607" s="1" cm="1">
        <f t="array" ref="J607">SUMPRODUCT(("CT_CWODETH"=[1]OUT_SyntheticFuels!$C$4:$C$1000)*1,("celc"=[1]OUT_SyntheticFuels!$A$4:$A$1000)*1,("Var_Fin"=[1]OUT_SyntheticFuels!$B$4:$B$1000)*1,[1]OUT_SyntheticFuels!I$4:I$1000)</f>
        <v>9.5644361118927168E-5</v>
      </c>
      <c r="K607" s="1" cm="1">
        <f t="array" ref="K607">SUMPRODUCT(("CT_CWODETH"=[1]OUT_SyntheticFuels!$C$4:$C$1000)*1,("celc"=[1]OUT_SyntheticFuels!$A$4:$A$1000)*1,("Var_Fin"=[1]OUT_SyntheticFuels!$B$4:$B$1000)*1,[1]OUT_SyntheticFuels!J$4:J$1000)</f>
        <v>7.0875858661144278E-5</v>
      </c>
    </row>
    <row r="608" spans="2:11" x14ac:dyDescent="0.35">
      <c r="B608" s="5" t="s">
        <v>6</v>
      </c>
      <c r="C608" s="5" t="s">
        <v>7</v>
      </c>
      <c r="D608" t="s">
        <v>324</v>
      </c>
      <c r="E608" s="5" t="s">
        <v>8</v>
      </c>
      <c r="F608" s="1" cm="1">
        <f t="array" ref="F608">SUMPRODUCT(("CT_CWODETHCCS"=[1]OUT_SyntheticFuels!$C$4:$C$1000)*1,("celc"=[1]OUT_SyntheticFuels!$A$4:$A$1000)*1,("Var_Fin"=[1]OUT_SyntheticFuels!$B$4:$B$1000)*1,[1]OUT_SyntheticFuels!E$4:E$1000)</f>
        <v>0</v>
      </c>
      <c r="G608" s="1" cm="1">
        <f t="array" ref="G608">SUMPRODUCT(("CT_CWODETHCCS"=[1]OUT_SyntheticFuels!$C$4:$C$1000)*1,("celc"=[1]OUT_SyntheticFuels!$A$4:$A$1000)*1,("Var_Fin"=[1]OUT_SyntheticFuels!$B$4:$B$1000)*1,[1]OUT_SyntheticFuels!F$4:F$1000)</f>
        <v>0</v>
      </c>
      <c r="H608" s="1" cm="1">
        <f t="array" ref="H608">SUMPRODUCT(("CT_CWODETHCCS"=[1]OUT_SyntheticFuels!$C$4:$C$1000)*1,("celc"=[1]OUT_SyntheticFuels!$A$4:$A$1000)*1,("Var_Fin"=[1]OUT_SyntheticFuels!$B$4:$B$1000)*1,[1]OUT_SyntheticFuels!G$4:G$1000)</f>
        <v>0</v>
      </c>
      <c r="I608" s="1" cm="1">
        <f t="array" ref="I608">SUMPRODUCT(("CT_CWODETHCCS"=[1]OUT_SyntheticFuels!$C$4:$C$1000)*1,("celc"=[1]OUT_SyntheticFuels!$A$4:$A$1000)*1,("Var_Fin"=[1]OUT_SyntheticFuels!$B$4:$B$1000)*1,[1]OUT_SyntheticFuels!H$4:H$1000)</f>
        <v>0</v>
      </c>
      <c r="J608" s="1" cm="1">
        <f t="array" ref="J608">SUMPRODUCT(("CT_CWODETHCCS"=[1]OUT_SyntheticFuels!$C$4:$C$1000)*1,("celc"=[1]OUT_SyntheticFuels!$A$4:$A$1000)*1,("Var_Fin"=[1]OUT_SyntheticFuels!$B$4:$B$1000)*1,[1]OUT_SyntheticFuels!I$4:I$1000)</f>
        <v>8.0413644674885162E-5</v>
      </c>
      <c r="K608" s="1" cm="1">
        <f t="array" ref="K608">SUMPRODUCT(("CT_CWODETHCCS"=[1]OUT_SyntheticFuels!$C$4:$C$1000)*1,("celc"=[1]OUT_SyntheticFuels!$A$4:$A$1000)*1,("Var_Fin"=[1]OUT_SyntheticFuels!$B$4:$B$1000)*1,[1]OUT_SyntheticFuels!J$4:J$1000)</f>
        <v>1.0821667112847505E-4</v>
      </c>
    </row>
    <row r="609" spans="2:11" x14ac:dyDescent="0.35">
      <c r="B609" s="9" t="s">
        <v>6</v>
      </c>
      <c r="C609" s="9" t="s">
        <v>7</v>
      </c>
      <c r="D609" s="2" t="s">
        <v>311</v>
      </c>
      <c r="E609" s="9" t="s">
        <v>240</v>
      </c>
      <c r="F609" t="s">
        <v>292</v>
      </c>
      <c r="G609" t="s">
        <v>292</v>
      </c>
      <c r="H609" t="s">
        <v>292</v>
      </c>
      <c r="I609" t="s">
        <v>292</v>
      </c>
      <c r="J609" t="s">
        <v>292</v>
      </c>
      <c r="K609" t="s">
        <v>292</v>
      </c>
    </row>
    <row r="610" spans="2:11" x14ac:dyDescent="0.35">
      <c r="B610" s="5" t="s">
        <v>6</v>
      </c>
      <c r="C610" s="5" t="s">
        <v>7</v>
      </c>
      <c r="D610" t="s">
        <v>312</v>
      </c>
      <c r="E610" s="5" t="s">
        <v>240</v>
      </c>
      <c r="F610" s="4">
        <f>IFERROR(F600/SUM(F604,F607),"-")</f>
        <v>0.26809651474530832</v>
      </c>
      <c r="G610">
        <f t="shared" ref="G610:K611" si="375">IFERROR(G600/SUM(G604,G607),"-")</f>
        <v>0.26809651474530843</v>
      </c>
      <c r="H610">
        <f t="shared" si="375"/>
        <v>0.26809651474530838</v>
      </c>
      <c r="I610">
        <f t="shared" si="375"/>
        <v>0.26809651474530855</v>
      </c>
      <c r="J610">
        <f t="shared" si="375"/>
        <v>0.26809651474530821</v>
      </c>
      <c r="K610">
        <f t="shared" si="375"/>
        <v>0.2680965147453081</v>
      </c>
    </row>
    <row r="611" spans="2:11" x14ac:dyDescent="0.35">
      <c r="B611" s="5" t="s">
        <v>6</v>
      </c>
      <c r="C611" s="5" t="s">
        <v>7</v>
      </c>
      <c r="D611" t="s">
        <v>313</v>
      </c>
      <c r="E611" s="5" t="s">
        <v>240</v>
      </c>
      <c r="F611" t="str">
        <f>IFERROR(F601/SUM(F605,F608),"-")</f>
        <v>-</v>
      </c>
      <c r="G611" t="str">
        <f t="shared" si="375"/>
        <v>-</v>
      </c>
      <c r="H611" t="str">
        <f t="shared" si="375"/>
        <v>-</v>
      </c>
      <c r="I611" t="str">
        <f t="shared" si="375"/>
        <v>-</v>
      </c>
      <c r="J611">
        <f t="shared" si="375"/>
        <v>0.23866348448687363</v>
      </c>
      <c r="K611">
        <f t="shared" si="375"/>
        <v>0.23866348448687352</v>
      </c>
    </row>
    <row r="612" spans="2:11" x14ac:dyDescent="0.35">
      <c r="B612" s="5" t="s">
        <v>6</v>
      </c>
      <c r="C612" s="5" t="s">
        <v>7</v>
      </c>
      <c r="D612" s="2" t="s">
        <v>381</v>
      </c>
      <c r="E612" s="9" t="s">
        <v>8</v>
      </c>
      <c r="F612" s="3">
        <f>F613+F614+F619</f>
        <v>6.9574221492648931</v>
      </c>
      <c r="G612" s="3">
        <f t="shared" ref="G612" si="376">G613+G614+G619</f>
        <v>9.7949032214888252</v>
      </c>
      <c r="H612" s="3">
        <f t="shared" ref="H612" si="377">H613+H614+H619</f>
        <v>10.413766208323983</v>
      </c>
      <c r="I612" s="3">
        <f t="shared" ref="I612" si="378">I613+I614+I619</f>
        <v>11.306126985684013</v>
      </c>
      <c r="J612" s="3">
        <f t="shared" ref="J612" si="379">J613+J614+J619</f>
        <v>11.864476021326977</v>
      </c>
      <c r="K612" s="3">
        <f t="shared" ref="K612" si="380">K613+K614+K619</f>
        <v>15.658743674369742</v>
      </c>
    </row>
    <row r="613" spans="2:11" x14ac:dyDescent="0.35">
      <c r="B613" s="5" t="s">
        <v>6</v>
      </c>
      <c r="C613" s="5" t="s">
        <v>7</v>
      </c>
      <c r="D613" t="s">
        <v>314</v>
      </c>
      <c r="E613" s="5" t="s">
        <v>8</v>
      </c>
      <c r="F613" s="1">
        <f>[1]Other_transformation!B$19</f>
        <v>1.3280061099777014</v>
      </c>
      <c r="G613" s="1">
        <f>[1]Other_transformation!C$19</f>
        <v>3.5566259597654502</v>
      </c>
      <c r="H613" s="1">
        <f>[1]Other_transformation!D$19</f>
        <v>4.3846330244449048</v>
      </c>
      <c r="I613" s="1">
        <f>[1]Other_transformation!E$19</f>
        <v>4.3847680696229334</v>
      </c>
      <c r="J613" s="1">
        <f>[1]Other_transformation!F$19</f>
        <v>5.1157530105389899</v>
      </c>
      <c r="K613" s="1">
        <f>[1]Other_transformation!G$19</f>
        <v>9.3766093889840949</v>
      </c>
    </row>
    <row r="614" spans="2:11" x14ac:dyDescent="0.35">
      <c r="B614" s="5" t="s">
        <v>6</v>
      </c>
      <c r="C614" s="5" t="s">
        <v>7</v>
      </c>
      <c r="D614" t="s">
        <v>909</v>
      </c>
      <c r="E614" s="5" t="s">
        <v>8</v>
      </c>
      <c r="F614" s="1">
        <f>[1]Other_transformation!B$20</f>
        <v>5.6294160392871913</v>
      </c>
      <c r="G614" s="1">
        <f>[1]Other_transformation!C$20</f>
        <v>6.2382302378324708</v>
      </c>
      <c r="H614" s="1">
        <f>[1]Other_transformation!D$20</f>
        <v>6.0290593932954648</v>
      </c>
      <c r="I614" s="1">
        <f>[1]Other_transformation!E$20</f>
        <v>6.9211479462771539</v>
      </c>
      <c r="J614" s="1">
        <f>[1]Other_transformation!F$20</f>
        <v>6.7483337469809648</v>
      </c>
      <c r="K614" s="1">
        <f>[1]Other_transformation!G$20</f>
        <v>6.2817626437037068</v>
      </c>
    </row>
    <row r="615" spans="2:11" x14ac:dyDescent="0.35">
      <c r="B615" s="5" t="s">
        <v>6</v>
      </c>
      <c r="C615" s="5" t="s">
        <v>7</v>
      </c>
      <c r="D615" t="s">
        <v>315</v>
      </c>
      <c r="E615" s="5" t="s">
        <v>8</v>
      </c>
      <c r="F615" s="1" cm="1">
        <f t="array" ref="F615">SUMPRODUCT(("SUP_WSTBIO"=[1]OUT_SyntheticFuels!$C$4:$C$1000)*1,("BIO"=[1]OUT_SyntheticFuels!$A$4:$A$1000)*1,("Var_Fout"=[1]OUT_SyntheticFuels!$B$4:$B$1000)*1,[1]OUT_SyntheticFuels!E$4:E$1000)</f>
        <v>5.6294160392871913</v>
      </c>
      <c r="G615" s="1" cm="1">
        <f t="array" ref="G615">SUMPRODUCT(("SUP_WSTBIO"=[1]OUT_SyntheticFuels!$C$4:$C$1000)*1,("BIO"=[1]OUT_SyntheticFuels!$A$4:$A$1000)*1,("Var_Fout"=[1]OUT_SyntheticFuels!$B$4:$B$1000)*1,[1]OUT_SyntheticFuels!F$4:F$1000)</f>
        <v>6.2382302378324708</v>
      </c>
      <c r="H615" s="1" cm="1">
        <f t="array" ref="H615">SUMPRODUCT(("SUP_WSTBIO"=[1]OUT_SyntheticFuels!$C$4:$C$1000)*1,("BIO"=[1]OUT_SyntheticFuels!$A$4:$A$1000)*1,("Var_Fout"=[1]OUT_SyntheticFuels!$B$4:$B$1000)*1,[1]OUT_SyntheticFuels!G$4:G$1000)</f>
        <v>6.0290593932954648</v>
      </c>
      <c r="I615" s="1" cm="1">
        <f t="array" ref="I615">SUMPRODUCT(("SUP_WSTBIO"=[1]OUT_SyntheticFuels!$C$4:$C$1000)*1,("BIO"=[1]OUT_SyntheticFuels!$A$4:$A$1000)*1,("Var_Fout"=[1]OUT_SyntheticFuels!$B$4:$B$1000)*1,[1]OUT_SyntheticFuels!H$4:H$1000)</f>
        <v>6.9211479462771539</v>
      </c>
      <c r="J615" s="1" cm="1">
        <f t="array" ref="J615">SUMPRODUCT(("SUP_WSTBIO"=[1]OUT_SyntheticFuels!$C$4:$C$1000)*1,("BIO"=[1]OUT_SyntheticFuels!$A$4:$A$1000)*1,("Var_Fout"=[1]OUT_SyntheticFuels!$B$4:$B$1000)*1,[1]OUT_SyntheticFuels!I$4:I$1000)</f>
        <v>6.7480695597794975</v>
      </c>
      <c r="K615" s="1" cm="1">
        <f t="array" ref="K615">SUMPRODUCT(("SUP_WSTBIO"=[1]OUT_SyntheticFuels!$C$4:$C$1000)*1,("BIO"=[1]OUT_SyntheticFuels!$A$4:$A$1000)*1,("Var_Fout"=[1]OUT_SyntheticFuels!$B$4:$B$1000)*1,[1]OUT_SyntheticFuels!J$4:J$1000)</f>
        <v>6.2814568701365143</v>
      </c>
    </row>
    <row r="616" spans="2:11" x14ac:dyDescent="0.35">
      <c r="B616" s="5" t="s">
        <v>6</v>
      </c>
      <c r="C616" s="5" t="s">
        <v>7</v>
      </c>
      <c r="D616" t="s">
        <v>316</v>
      </c>
      <c r="E616" s="5" t="s">
        <v>8</v>
      </c>
      <c r="F616" s="1" cm="1">
        <f t="array" ref="F616">SUMPRODUCT(("SUP_WSTBIOCCS"=[1]OUT_SyntheticFuels!$C$4:$C$1000)*1,("BIO"=[1]OUT_SyntheticFuels!$A$4:$A$1000)*1,("Var_Fout"=[1]OUT_SyntheticFuels!$B$4:$B$1000)*1,[1]OUT_SyntheticFuels!E$4:E$1000)</f>
        <v>0</v>
      </c>
      <c r="G616" s="1" cm="1">
        <f t="array" ref="G616">SUMPRODUCT(("SUP_WSTBIOCCS"=[1]OUT_SyntheticFuels!$C$4:$C$1000)*1,("BIO"=[1]OUT_SyntheticFuels!$A$4:$A$1000)*1,("Var_Fout"=[1]OUT_SyntheticFuels!$B$4:$B$1000)*1,[1]OUT_SyntheticFuels!F$4:F$1000)</f>
        <v>0</v>
      </c>
      <c r="H616" s="1" cm="1">
        <f t="array" ref="H616">SUMPRODUCT(("SUP_WSTBIOCCS"=[1]OUT_SyntheticFuels!$C$4:$C$1000)*1,("BIO"=[1]OUT_SyntheticFuels!$A$4:$A$1000)*1,("Var_Fout"=[1]OUT_SyntheticFuels!$B$4:$B$1000)*1,[1]OUT_SyntheticFuels!G$4:G$1000)</f>
        <v>0</v>
      </c>
      <c r="I616" s="1" cm="1">
        <f t="array" ref="I616">SUMPRODUCT(("SUP_WSTBIOCCS"=[1]OUT_SyntheticFuels!$C$4:$C$1000)*1,("BIO"=[1]OUT_SyntheticFuels!$A$4:$A$1000)*1,("Var_Fout"=[1]OUT_SyntheticFuels!$B$4:$B$1000)*1,[1]OUT_SyntheticFuels!H$4:H$1000)</f>
        <v>0</v>
      </c>
      <c r="J616" s="1" cm="1">
        <f t="array" ref="J616">SUMPRODUCT(("SUP_WSTBIOCCS"=[1]OUT_SyntheticFuels!$C$4:$C$1000)*1,("BIO"=[1]OUT_SyntheticFuels!$A$4:$A$1000)*1,("Var_Fout"=[1]OUT_SyntheticFuels!$B$4:$B$1000)*1,[1]OUT_SyntheticFuels!I$4:I$1000)</f>
        <v>0</v>
      </c>
      <c r="K616" s="1" cm="1">
        <f t="array" ref="K616">SUMPRODUCT(("SUP_WSTBIOCCS"=[1]OUT_SyntheticFuels!$C$4:$C$1000)*1,("BIO"=[1]OUT_SyntheticFuels!$A$4:$A$1000)*1,("Var_Fout"=[1]OUT_SyntheticFuels!$B$4:$B$1000)*1,[1]OUT_SyntheticFuels!J$4:J$1000)</f>
        <v>0</v>
      </c>
    </row>
    <row r="617" spans="2:11" x14ac:dyDescent="0.35">
      <c r="B617" s="5" t="s">
        <v>6</v>
      </c>
      <c r="C617" s="5" t="s">
        <v>7</v>
      </c>
      <c r="D617" t="s">
        <v>318</v>
      </c>
      <c r="E617" s="5" t="s">
        <v>8</v>
      </c>
      <c r="F617" s="1" cm="1">
        <f t="array" ref="F617">SUMPRODUCT(("SUP_WSTHTGBIO"=[1]OUT_SyntheticFuels!$C$4:$C$1000)*1,("BIO"=[1]OUT_SyntheticFuels!$A$4:$A$1000)*1,("Var_Fout"=[1]OUT_SyntheticFuels!$B$4:$B$1000)*1,[1]OUT_SyntheticFuels!E$4:E$1000)</f>
        <v>0</v>
      </c>
      <c r="G617" s="1" cm="1">
        <f t="array" ref="G617">SUMPRODUCT(("SUP_WSTHTGBIO"=[1]OUT_SyntheticFuels!$C$4:$C$1000)*1,("BIO"=[1]OUT_SyntheticFuels!$A$4:$A$1000)*1,("Var_Fout"=[1]OUT_SyntheticFuels!$B$4:$B$1000)*1,[1]OUT_SyntheticFuels!F$4:F$1000)</f>
        <v>0</v>
      </c>
      <c r="H617" s="1" cm="1">
        <f t="array" ref="H617">SUMPRODUCT(("SUP_WSTHTGBIO"=[1]OUT_SyntheticFuels!$C$4:$C$1000)*1,("BIO"=[1]OUT_SyntheticFuels!$A$4:$A$1000)*1,("Var_Fout"=[1]OUT_SyntheticFuels!$B$4:$B$1000)*1,[1]OUT_SyntheticFuels!G$4:G$1000)</f>
        <v>0</v>
      </c>
      <c r="I617" s="1" cm="1">
        <f t="array" ref="I617">SUMPRODUCT(("SUP_WSTHTGBIO"=[1]OUT_SyntheticFuels!$C$4:$C$1000)*1,("BIO"=[1]OUT_SyntheticFuels!$A$4:$A$1000)*1,("Var_Fout"=[1]OUT_SyntheticFuels!$B$4:$B$1000)*1,[1]OUT_SyntheticFuels!H$4:H$1000)</f>
        <v>0</v>
      </c>
      <c r="J617" s="1" cm="1">
        <f t="array" ref="J617">SUMPRODUCT(("SUP_WSTHTGBIO"=[1]OUT_SyntheticFuels!$C$4:$C$1000)*1,("BIO"=[1]OUT_SyntheticFuels!$A$4:$A$1000)*1,("Var_Fout"=[1]OUT_SyntheticFuels!$B$4:$B$1000)*1,[1]OUT_SyntheticFuels!I$4:I$1000)</f>
        <v>2.0887664165383714E-4</v>
      </c>
      <c r="K617" s="1" cm="1">
        <f t="array" ref="K617">SUMPRODUCT(("SUP_WSTHTGBIO"=[1]OUT_SyntheticFuels!$C$4:$C$1000)*1,("BIO"=[1]OUT_SyntheticFuels!$A$4:$A$1000)*1,("Var_Fout"=[1]OUT_SyntheticFuels!$B$4:$B$1000)*1,[1]OUT_SyntheticFuels!J$4:J$1000)</f>
        <v>2.3160976579210816E-4</v>
      </c>
    </row>
    <row r="618" spans="2:11" x14ac:dyDescent="0.35">
      <c r="B618" s="5" t="s">
        <v>6</v>
      </c>
      <c r="C618" s="5" t="s">
        <v>7</v>
      </c>
      <c r="D618" t="s">
        <v>317</v>
      </c>
      <c r="E618" s="5" t="s">
        <v>8</v>
      </c>
      <c r="F618" s="1" cm="1">
        <f t="array" ref="F618">SUMPRODUCT(("SUP_WSTHTGBIOCCS"=[1]OUT_SyntheticFuels!$C$4:$C$1000)*1,("BIO"=[1]OUT_SyntheticFuels!$A$4:$A$1000)*1,("Var_Fout"=[1]OUT_SyntheticFuels!$B$4:$B$1000)*1,[1]OUT_SyntheticFuels!E$4:E$1000)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SUMPRODUCT(("SUP_WSTHTGBIOCCS"=[1]OUT_SyntheticFuels!$C$4:$C$1000)*1,("BIO"=[1]OUT_SyntheticFuels!$A$4:$A$1000)*1,("Var_Fout"=[1]OUT_SyntheticFuels!$B$4:$B$1000)*1,[1]OUT_SyntheticFuels!F$4:F$1000)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SUMPRODUCT(("SUP_WSTHTGBIOCCS"=[1]OUT_SyntheticFuels!$C$4:$C$1000)*1,("BIO"=[1]OUT_SyntheticFuels!$A$4:$A$1000)*1,("Var_Fout"=[1]OUT_SyntheticFuels!$B$4:$B$1000)*1,[1]OUT_SyntheticFuels!G$4:G$1000)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SUMPRODUCT(("SUP_WSTHTGBIOCCS"=[1]OUT_SyntheticFuels!$C$4:$C$1000)*1,("BIO"=[1]OUT_SyntheticFuels!$A$4:$A$1000)*1,("Var_Fout"=[1]OUT_SyntheticFuels!$B$4:$B$1000)*1,[1]OUT_SyntheticFuels!H$4:H$1000)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SUMPRODUCT(("SUP_WSTHTGBIOCCS"=[1]OUT_SyntheticFuels!$C$4:$C$1000)*1,("BIO"=[1]OUT_SyntheticFuels!$A$4:$A$1000)*1,("Var_Fout"=[1]OUT_SyntheticFuels!$B$4:$B$1000)*1,[1]OUT_SyntheticFuels!I$4:I$1000)</f>
        <v>5.5310559813135542E-5</v>
      </c>
      <c r="K618" s="1" cm="1">
        <f t="array" ref="K618">SUMPRODUCT(("SUP_WSTHTGBIOCCS"=[1]OUT_SyntheticFuels!$C$4:$C$1000)*1,("BIO"=[1]OUT_SyntheticFuels!$A$4:$A$1000)*1,("Var_Fout"=[1]OUT_SyntheticFuels!$B$4:$B$1000)*1,[1]OUT_SyntheticFuels!J$4:J$1000)</f>
        <v>7.4163801401000223E-5</v>
      </c>
    </row>
    <row r="619" spans="2:11" x14ac:dyDescent="0.35">
      <c r="B619" s="5" t="s">
        <v>6</v>
      </c>
      <c r="C619" s="5" t="s">
        <v>7</v>
      </c>
      <c r="D619" t="s">
        <v>910</v>
      </c>
      <c r="E619" s="5" t="s">
        <v>8</v>
      </c>
      <c r="F619" s="1">
        <f>[1]Other_transformation!B$21</f>
        <v>0</v>
      </c>
      <c r="G619" s="1">
        <f>[1]Other_transformation!C$21</f>
        <v>4.7023890904184532E-5</v>
      </c>
      <c r="H619" s="1">
        <f>[1]Other_transformation!D$21</f>
        <v>7.3790583614058309E-5</v>
      </c>
      <c r="I619" s="1">
        <f>[1]Other_transformation!E$21</f>
        <v>2.109697839255829E-4</v>
      </c>
      <c r="J619" s="1">
        <f>[1]Other_transformation!F$21</f>
        <v>3.8926380702189705E-4</v>
      </c>
      <c r="K619" s="1">
        <f>[1]Other_transformation!G$21</f>
        <v>3.7164168194067084E-4</v>
      </c>
    </row>
    <row r="620" spans="2:11" x14ac:dyDescent="0.35">
      <c r="B620" s="5" t="s">
        <v>6</v>
      </c>
      <c r="C620" s="5" t="s">
        <v>7</v>
      </c>
      <c r="D620" t="s">
        <v>319</v>
      </c>
      <c r="E620" s="5" t="s">
        <v>8</v>
      </c>
      <c r="F620" s="1" cm="1">
        <f t="array" ref="F620">SUMPRODUCT(("SUP_WODBIO"=[1]OUT_SyntheticFuels!$C$4:$C$1000)*1,("BIO"=[1]OUT_SyntheticFuels!$A$4:$A$1000)*1,("Var_Fout"=[1]OUT_SyntheticFuels!$B$4:$B$1000)*1,[1]OUT_SyntheticFuels!E$4:E$1000)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SUMPRODUCT(("SUP_WODBIO"=[1]OUT_SyntheticFuels!$C$4:$C$1000)*1,("BIO"=[1]OUT_SyntheticFuels!$A$4:$A$1000)*1,("Var_Fout"=[1]OUT_SyntheticFuels!$B$4:$B$1000)*1,[1]OUT_SyntheticFuels!F$4:F$1000)</f>
        <v>4.7023890904184532E-5</v>
      </c>
      <c r="H620" s="1" cm="1">
        <f t="array" ref="H620">SUMPRODUCT(("SUP_WODBIO"=[1]OUT_SyntheticFuels!$C$4:$C$1000)*1,("BIO"=[1]OUT_SyntheticFuels!$A$4:$A$1000)*1,("Var_Fout"=[1]OUT_SyntheticFuels!$B$4:$B$1000)*1,[1]OUT_SyntheticFuels!G$4:G$1000)</f>
        <v>7.3790583614058309E-5</v>
      </c>
      <c r="I620" s="1" cm="1">
        <f t="array" ref="I620">SUMPRODUCT(("SUP_WODBIO"=[1]OUT_SyntheticFuels!$C$4:$C$1000)*1,("BIO"=[1]OUT_SyntheticFuels!$A$4:$A$1000)*1,("Var_Fout"=[1]OUT_SyntheticFuels!$B$4:$B$1000)*1,[1]OUT_SyntheticFuels!H$4:H$1000)</f>
        <v>2.109697839255829E-4</v>
      </c>
      <c r="J620" s="1" cm="1">
        <f t="array" ref="J620">SUMPRODUCT(("SUP_WODBIO"=[1]OUT_SyntheticFuels!$C$4:$C$1000)*1,("BIO"=[1]OUT_SyntheticFuels!$A$4:$A$1000)*1,("Var_Fout"=[1]OUT_SyntheticFuels!$B$4:$B$1000)*1,[1]OUT_SyntheticFuels!I$4:I$1000)</f>
        <v>2.0095981765049507E-4</v>
      </c>
      <c r="K620" s="1" cm="1">
        <f t="array" ref="K620">SUMPRODUCT(("SUP_WODBIO"=[1]OUT_SyntheticFuels!$C$4:$C$1000)*1,("BIO"=[1]OUT_SyntheticFuels!$A$4:$A$1000)*1,("Var_Fout"=[1]OUT_SyntheticFuels!$B$4:$B$1000)*1,[1]OUT_SyntheticFuels!J$4:J$1000)</f>
        <v>1.4862618519196279E-4</v>
      </c>
    </row>
    <row r="621" spans="2:11" x14ac:dyDescent="0.35">
      <c r="B621" s="5" t="s">
        <v>6</v>
      </c>
      <c r="C621" s="5" t="s">
        <v>7</v>
      </c>
      <c r="D621" t="s">
        <v>320</v>
      </c>
      <c r="E621" s="5" t="s">
        <v>8</v>
      </c>
      <c r="F621" s="1" cm="1">
        <f t="array" ref="F621">SUMPRODUCT(("SUP_WODBIOCCS"=[1]OUT_SyntheticFuels!$C$4:$C$1000)*1,("BIO"=[1]OUT_SyntheticFuels!$A$4:$A$1000)*1,("Var_Fout"=[1]OUT_SyntheticFuels!$B$4:$B$1000)*1,[1]OUT_SyntheticFuels!E$4:E$1000)</f>
        <v>0</v>
      </c>
      <c r="G621" s="1" cm="1">
        <f t="array" ref="G621">SUMPRODUCT(("SUP_WODBIOCCS"=[1]OUT_SyntheticFuels!$C$4:$C$1000)*1,("BIO"=[1]OUT_SyntheticFuels!$A$4:$A$1000)*1,("Var_Fout"=[1]OUT_SyntheticFuels!$B$4:$B$1000)*1,[1]OUT_SyntheticFuels!F$4:F$1000)</f>
        <v>0</v>
      </c>
      <c r="H621" s="1" cm="1">
        <f t="array" ref="H621">SUMPRODUCT(("SUP_WODBIOCCS"=[1]OUT_SyntheticFuels!$C$4:$C$1000)*1,("BIO"=[1]OUT_SyntheticFuels!$A$4:$A$1000)*1,("Var_Fout"=[1]OUT_SyntheticFuels!$B$4:$B$1000)*1,[1]OUT_SyntheticFuels!G$4:G$1000)</f>
        <v>0</v>
      </c>
      <c r="I621" s="1" cm="1">
        <f t="array" ref="I621">SUMPRODUCT(("SUP_WODBIOCCS"=[1]OUT_SyntheticFuels!$C$4:$C$1000)*1,("BIO"=[1]OUT_SyntheticFuels!$A$4:$A$1000)*1,("Var_Fout"=[1]OUT_SyntheticFuels!$B$4:$B$1000)*1,[1]OUT_SyntheticFuels!H$4:H$1000)</f>
        <v>0</v>
      </c>
      <c r="J621" s="1" cm="1">
        <f t="array" ref="J621">SUMPRODUCT(("SUP_WODBIOCCS"=[1]OUT_SyntheticFuels!$C$4:$C$1000)*1,("BIO"=[1]OUT_SyntheticFuels!$A$4:$A$1000)*1,("Var_Fout"=[1]OUT_SyntheticFuels!$B$4:$B$1000)*1,[1]OUT_SyntheticFuels!I$4:I$1000)</f>
        <v>1.8830398937140196E-4</v>
      </c>
      <c r="K621" s="1" cm="1">
        <f t="array" ref="K621">SUMPRODUCT(("SUP_WODBIOCCS"=[1]OUT_SyntheticFuels!$C$4:$C$1000)*1,("BIO"=[1]OUT_SyntheticFuels!$A$4:$A$1000)*1,("Var_Fout"=[1]OUT_SyntheticFuels!$B$4:$B$1000)*1,[1]OUT_SyntheticFuels!J$4:J$1000)</f>
        <v>2.2301549674870808E-4</v>
      </c>
    </row>
    <row r="622" spans="2:11" x14ac:dyDescent="0.35">
      <c r="B622" s="5" t="s">
        <v>6</v>
      </c>
      <c r="C622" s="5" t="s">
        <v>7</v>
      </c>
      <c r="D622" s="2" t="s">
        <v>383</v>
      </c>
      <c r="E622" s="9" t="s">
        <v>8</v>
      </c>
      <c r="F622" s="3">
        <f>F623+F624+F629</f>
        <v>0.11258832078574392</v>
      </c>
      <c r="G622" s="3">
        <f t="shared" ref="G622" si="381">G623+G624+G629</f>
        <v>0.12476460475664931</v>
      </c>
      <c r="H622" s="3">
        <f t="shared" ref="H622" si="382">H623+H624+H629</f>
        <v>0.12058256378707274</v>
      </c>
      <c r="I622" s="3">
        <f t="shared" ref="I622" si="383">I623+I624+I629</f>
        <v>0.13843139771690008</v>
      </c>
      <c r="J622" s="3">
        <f t="shared" ref="J622" si="384">J623+J624+J629</f>
        <v>0.13497745026474423</v>
      </c>
      <c r="K622" s="3">
        <f t="shared" ref="K622" si="385">K623+K624+K629</f>
        <v>0.12564367886457189</v>
      </c>
    </row>
    <row r="623" spans="2:11" x14ac:dyDescent="0.35">
      <c r="B623" s="5" t="s">
        <v>6</v>
      </c>
      <c r="C623" s="5" t="s">
        <v>7</v>
      </c>
      <c r="D623" t="s">
        <v>329</v>
      </c>
      <c r="E623" s="5" t="s">
        <v>8</v>
      </c>
      <c r="F623" s="1" cm="1">
        <f t="array" ref="F623">SUMPRODUCT(("SUP_MNRBIO"=[1]OUT_SyntheticFuels!$C$4:$C$1000)*1,("Var_Fout"=[1]OUT_SyntheticFuels!$B$4:$B$1000)*1,("ELC35"=[1]OUT_SyntheticFuels!$A$4:$A$1000)*1,[1]OUT_SyntheticFuels!E$4:E$1000)</f>
        <v>0</v>
      </c>
      <c r="G623" s="1" cm="1">
        <f t="array" ref="G623">SUMPRODUCT(("SUP_MNRBIO"=[1]OUT_SyntheticFuels!$C$4:$C$1000)*1,("Var_Fout"=[1]OUT_SyntheticFuels!$B$4:$B$1000)*1,("ELC35"=[1]OUT_SyntheticFuels!$A$4:$A$1000)*1,[1]OUT_SyntheticFuels!F$4:F$1000)</f>
        <v>0</v>
      </c>
      <c r="H623" s="1" cm="1">
        <f t="array" ref="H623">SUMPRODUCT(("SUP_MNRBIO"=[1]OUT_SyntheticFuels!$C$4:$C$1000)*1,("Var_Fout"=[1]OUT_SyntheticFuels!$B$4:$B$1000)*1,("ELC35"=[1]OUT_SyntheticFuels!$A$4:$A$1000)*1,[1]OUT_SyntheticFuels!G$4:G$1000)</f>
        <v>0</v>
      </c>
      <c r="I623" s="1" cm="1">
        <f t="array" ref="I623">SUMPRODUCT(("SUP_MNRBIO"=[1]OUT_SyntheticFuels!$C$4:$C$1000)*1,("Var_Fout"=[1]OUT_SyntheticFuels!$B$4:$B$1000)*1,("ELC35"=[1]OUT_SyntheticFuels!$A$4:$A$1000)*1,[1]OUT_SyntheticFuels!H$4:H$1000)</f>
        <v>0</v>
      </c>
      <c r="J623" s="1" cm="1">
        <f t="array" ref="J623">SUMPRODUCT(("SUP_MNRBIO"=[1]OUT_SyntheticFuels!$C$4:$C$1000)*1,("Var_Fout"=[1]OUT_SyntheticFuels!$B$4:$B$1000)*1,("ELC35"=[1]OUT_SyntheticFuels!$A$4:$A$1000)*1,[1]OUT_SyntheticFuels!I$4:I$1000)</f>
        <v>0</v>
      </c>
      <c r="K623" s="1" cm="1">
        <f t="array" ref="K623">SUMPRODUCT(("SUP_MNRBIO"=[1]OUT_SyntheticFuels!$C$4:$C$1000)*1,("Var_Fout"=[1]OUT_SyntheticFuels!$B$4:$B$1000)*1,("ELC35"=[1]OUT_SyntheticFuels!$A$4:$A$1000)*1,[1]OUT_SyntheticFuels!J$4:J$1000)</f>
        <v>0</v>
      </c>
    </row>
    <row r="624" spans="2:11" x14ac:dyDescent="0.35">
      <c r="B624" s="5" t="s">
        <v>6</v>
      </c>
      <c r="C624" s="5" t="s">
        <v>7</v>
      </c>
      <c r="D624" t="s">
        <v>330</v>
      </c>
      <c r="E624" s="5" t="s">
        <v>8</v>
      </c>
      <c r="F624" s="1">
        <f>SUM(F625:F628)</f>
        <v>0.11258832078574392</v>
      </c>
      <c r="G624" s="1">
        <f t="shared" ref="G624:K624" si="386">SUM(G625:G628)</f>
        <v>0.12476460475664931</v>
      </c>
      <c r="H624" s="1">
        <f t="shared" si="386"/>
        <v>0.12058118786590917</v>
      </c>
      <c r="I624" s="1">
        <f t="shared" si="386"/>
        <v>0.13842295892554304</v>
      </c>
      <c r="J624" s="1">
        <f t="shared" si="386"/>
        <v>0.13496139119558995</v>
      </c>
      <c r="K624" s="1">
        <f t="shared" si="386"/>
        <v>0.1256291374027303</v>
      </c>
    </row>
    <row r="625" spans="2:11" x14ac:dyDescent="0.35">
      <c r="B625" s="5" t="s">
        <v>6</v>
      </c>
      <c r="C625" s="5" t="s">
        <v>7</v>
      </c>
      <c r="D625" t="s">
        <v>331</v>
      </c>
      <c r="E625" s="5" t="s">
        <v>8</v>
      </c>
      <c r="F625" s="1" cm="1">
        <f t="array" ref="F625">SUMPRODUCT(("SUP_WSTBIO"=[1]OUT_SyntheticFuels!$C$4:$C$1000)*1,("elc35"=[1]OUT_SyntheticFuels!$A$4:$A$1000)*1,("Var_Fout"=[1]OUT_SyntheticFuels!$B$4:$B$1000)*1,[1]OUT_SyntheticFuels!E$4:E$1000)</f>
        <v>0.11258832078574392</v>
      </c>
      <c r="G625" s="1" cm="1">
        <f t="array" ref="G625">SUMPRODUCT(("SUP_WSTBIO"=[1]OUT_SyntheticFuels!$C$4:$C$1000)*1,("elc35"=[1]OUT_SyntheticFuels!$A$4:$A$1000)*1,("Var_Fout"=[1]OUT_SyntheticFuels!$B$4:$B$1000)*1,[1]OUT_SyntheticFuels!F$4:F$1000)</f>
        <v>0.12476460475664931</v>
      </c>
      <c r="H625" s="1" cm="1">
        <f t="array" ref="H625">SUMPRODUCT(("SUP_WSTBIO"=[1]OUT_SyntheticFuels!$C$4:$C$1000)*1,("elc35"=[1]OUT_SyntheticFuels!$A$4:$A$1000)*1,("Var_Fout"=[1]OUT_SyntheticFuels!$B$4:$B$1000)*1,[1]OUT_SyntheticFuels!G$4:G$1000)</f>
        <v>0.12058118786590917</v>
      </c>
      <c r="I625" s="1" cm="1">
        <f t="array" ref="I625">SUMPRODUCT(("SUP_WSTBIO"=[1]OUT_SyntheticFuels!$C$4:$C$1000)*1,("elc35"=[1]OUT_SyntheticFuels!$A$4:$A$1000)*1,("Var_Fout"=[1]OUT_SyntheticFuels!$B$4:$B$1000)*1,[1]OUT_SyntheticFuels!H$4:H$1000)</f>
        <v>0.13842295892554304</v>
      </c>
      <c r="J625" s="1" cm="1">
        <f t="array" ref="J625">SUMPRODUCT(("SUP_WSTBIO"=[1]OUT_SyntheticFuels!$C$4:$C$1000)*1,("elc35"=[1]OUT_SyntheticFuels!$A$4:$A$1000)*1,("Var_Fout"=[1]OUT_SyntheticFuels!$B$4:$B$1000)*1,[1]OUT_SyntheticFuels!I$4:I$1000)</f>
        <v>0.13496139119558995</v>
      </c>
      <c r="K625" s="1" cm="1">
        <f t="array" ref="K625">SUMPRODUCT(("SUP_WSTBIO"=[1]OUT_SyntheticFuels!$C$4:$C$1000)*1,("elc35"=[1]OUT_SyntheticFuels!$A$4:$A$1000)*1,("Var_Fout"=[1]OUT_SyntheticFuels!$B$4:$B$1000)*1,[1]OUT_SyntheticFuels!J$4:J$1000)</f>
        <v>0.1256291374027303</v>
      </c>
    </row>
    <row r="626" spans="2:11" x14ac:dyDescent="0.35">
      <c r="B626" s="5" t="s">
        <v>6</v>
      </c>
      <c r="C626" s="5" t="s">
        <v>7</v>
      </c>
      <c r="D626" t="s">
        <v>332</v>
      </c>
      <c r="E626" s="5" t="s">
        <v>8</v>
      </c>
      <c r="F626" s="1" cm="1">
        <f t="array" ref="F626">SUMPRODUCT(("SUP_WSTBIOCCS"=[1]OUT_SyntheticFuels!$C$4:$C$1000)*1,("elc35"=[1]OUT_SyntheticFuels!$A$4:$A$1000)*1,("Var_Fout"=[1]OUT_SyntheticFuels!$B$4:$B$1000)*1,[1]OUT_SyntheticFuels!E$4:E$1000)</f>
        <v>0</v>
      </c>
      <c r="G626" s="1" cm="1">
        <f t="array" ref="G626">SUMPRODUCT(("SUP_WSTBIOCCS"=[1]OUT_SyntheticFuels!$C$4:$C$1000)*1,("elc35"=[1]OUT_SyntheticFuels!$A$4:$A$1000)*1,("Var_Fout"=[1]OUT_SyntheticFuels!$B$4:$B$1000)*1,[1]OUT_SyntheticFuels!F$4:F$1000)</f>
        <v>0</v>
      </c>
      <c r="H626" s="1" cm="1">
        <f t="array" ref="H626">SUMPRODUCT(("SUP_WSTBIOCCS"=[1]OUT_SyntheticFuels!$C$4:$C$1000)*1,("elc35"=[1]OUT_SyntheticFuels!$A$4:$A$1000)*1,("Var_Fout"=[1]OUT_SyntheticFuels!$B$4:$B$1000)*1,[1]OUT_SyntheticFuels!G$4:G$1000)</f>
        <v>0</v>
      </c>
      <c r="I626" s="1" cm="1">
        <f t="array" ref="I626">SUMPRODUCT(("SUP_WSTBIOCCS"=[1]OUT_SyntheticFuels!$C$4:$C$1000)*1,("elc35"=[1]OUT_SyntheticFuels!$A$4:$A$1000)*1,("Var_Fout"=[1]OUT_SyntheticFuels!$B$4:$B$1000)*1,[1]OUT_SyntheticFuels!H$4:H$1000)</f>
        <v>0</v>
      </c>
      <c r="J626" s="1" cm="1">
        <f t="array" ref="J626">SUMPRODUCT(("SUP_WSTBIOCCS"=[1]OUT_SyntheticFuels!$C$4:$C$1000)*1,("elc35"=[1]OUT_SyntheticFuels!$A$4:$A$1000)*1,("Var_Fout"=[1]OUT_SyntheticFuels!$B$4:$B$1000)*1,[1]OUT_SyntheticFuels!I$4:I$1000)</f>
        <v>0</v>
      </c>
      <c r="K626" s="1" cm="1">
        <f t="array" ref="K626">SUMPRODUCT(("SUP_WSTBIOCCS"=[1]OUT_SyntheticFuels!$C$4:$C$1000)*1,("elc35"=[1]OUT_SyntheticFuels!$A$4:$A$1000)*1,("Var_Fout"=[1]OUT_SyntheticFuels!$B$4:$B$1000)*1,[1]OUT_SyntheticFuels!J$4:J$1000)</f>
        <v>0</v>
      </c>
    </row>
    <row r="627" spans="2:11" x14ac:dyDescent="0.35">
      <c r="B627" s="5" t="s">
        <v>6</v>
      </c>
      <c r="C627" s="5" t="s">
        <v>7</v>
      </c>
      <c r="D627" t="s">
        <v>333</v>
      </c>
      <c r="E627" s="5" t="s">
        <v>8</v>
      </c>
      <c r="F627" s="1" cm="1">
        <f t="array" ref="F627">SUMPRODUCT(("SUP_WSTHTGBIO"=[1]OUT_SyntheticFuels!$C$4:$C$1000)*1,("elc35"=[1]OUT_SyntheticFuels!$A$4:$A$1000)*1,("Var_Fout"=[1]OUT_SyntheticFuels!$B$4:$B$1000)*1,[1]OUT_SyntheticFuels!E$4:E$1000)</f>
        <v>0</v>
      </c>
      <c r="G627" s="1" cm="1">
        <f t="array" ref="G627">SUMPRODUCT(("SUP_WSTHTGBIO"=[1]OUT_SyntheticFuels!$C$4:$C$1000)*1,("elc35"=[1]OUT_SyntheticFuels!$A$4:$A$1000)*1,("Var_Fout"=[1]OUT_SyntheticFuels!$B$4:$B$1000)*1,[1]OUT_SyntheticFuels!F$4:F$1000)</f>
        <v>0</v>
      </c>
      <c r="H627" s="1" cm="1">
        <f t="array" ref="H627">SUMPRODUCT(("SUP_WSTHTGBIO"=[1]OUT_SyntheticFuels!$C$4:$C$1000)*1,("elc35"=[1]OUT_SyntheticFuels!$A$4:$A$1000)*1,("Var_Fout"=[1]OUT_SyntheticFuels!$B$4:$B$1000)*1,[1]OUT_SyntheticFuels!G$4:G$1000)</f>
        <v>0</v>
      </c>
      <c r="I627" s="1" cm="1">
        <f t="array" ref="I627">SUMPRODUCT(("SUP_WSTHTGBIO"=[1]OUT_SyntheticFuels!$C$4:$C$1000)*1,("elc35"=[1]OUT_SyntheticFuels!$A$4:$A$1000)*1,("Var_Fout"=[1]OUT_SyntheticFuels!$B$4:$B$1000)*1,[1]OUT_SyntheticFuels!H$4:H$1000)</f>
        <v>0</v>
      </c>
      <c r="J627" s="1" cm="1">
        <f t="array" ref="J627">SUMPRODUCT(("SUP_WSTHTGBIO"=[1]OUT_SyntheticFuels!$C$4:$C$1000)*1,("elc35"=[1]OUT_SyntheticFuels!$A$4:$A$1000)*1,("Var_Fout"=[1]OUT_SyntheticFuels!$B$4:$B$1000)*1,[1]OUT_SyntheticFuels!I$4:I$1000)</f>
        <v>0</v>
      </c>
      <c r="K627" s="1" cm="1">
        <f t="array" ref="K627">SUMPRODUCT(("SUP_WSTHTGBIO"=[1]OUT_SyntheticFuels!$C$4:$C$1000)*1,("elc35"=[1]OUT_SyntheticFuels!$A$4:$A$1000)*1,("Var_Fout"=[1]OUT_SyntheticFuels!$B$4:$B$1000)*1,[1]OUT_SyntheticFuels!J$4:J$1000)</f>
        <v>0</v>
      </c>
    </row>
    <row r="628" spans="2:11" x14ac:dyDescent="0.35">
      <c r="B628" s="5" t="s">
        <v>6</v>
      </c>
      <c r="C628" s="5" t="s">
        <v>7</v>
      </c>
      <c r="D628" t="s">
        <v>334</v>
      </c>
      <c r="E628" s="5" t="s">
        <v>8</v>
      </c>
      <c r="F628" s="1" cm="1">
        <f t="array" ref="F628">SUMPRODUCT(("SUP_WSTHTGBIOCCS"=[1]OUT_SyntheticFuels!$C$4:$C$1000)*1,("elc35"=[1]OUT_SyntheticFuels!$A$4:$A$1000)*1,("Var_Fout"=[1]OUT_SyntheticFuels!$B$4:$B$1000)*1,[1]OUT_SyntheticFuels!E$4:E$1000)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SUMPRODUCT(("SUP_WSTHTGBIOCCS"=[1]OUT_SyntheticFuels!$C$4:$C$1000)*1,("elc35"=[1]OUT_SyntheticFuels!$A$4:$A$1000)*1,("Var_Fout"=[1]OUT_SyntheticFuels!$B$4:$B$1000)*1,[1]OUT_SyntheticFuels!F$4:F$1000)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SUMPRODUCT(("SUP_WSTHTGBIOCCS"=[1]OUT_SyntheticFuels!$C$4:$C$1000)*1,("elc35"=[1]OUT_SyntheticFuels!$A$4:$A$1000)*1,("Var_Fout"=[1]OUT_SyntheticFuels!$B$4:$B$1000)*1,[1]OUT_SyntheticFuels!G$4:G$1000)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SUMPRODUCT(("SUP_WSTHTGBIOCCS"=[1]OUT_SyntheticFuels!$C$4:$C$1000)*1,("elc35"=[1]OUT_SyntheticFuels!$A$4:$A$1000)*1,("Var_Fout"=[1]OUT_SyntheticFuels!$B$4:$B$1000)*1,[1]OUT_SyntheticFuels!H$4:H$1000)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SUMPRODUCT(("SUP_WSTHTGBIOCCS"=[1]OUT_SyntheticFuels!$C$4:$C$1000)*1,("elc35"=[1]OUT_SyntheticFuels!$A$4:$A$1000)*1,("Var_Fout"=[1]OUT_SyntheticFuels!$B$4:$B$1000)*1,[1]OUT_SyntheticFuels!I$4:I$1000)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SUMPRODUCT(("SUP_WSTHTGBIOCCS"=[1]OUT_SyntheticFuels!$C$4:$C$1000)*1,("elc35"=[1]OUT_SyntheticFuels!$A$4:$A$1000)*1,("Var_Fout"=[1]OUT_SyntheticFuels!$B$4:$B$1000)*1,[1]OUT_SyntheticFuels!J$4:J$1000)</f>
        <v>0</v>
      </c>
    </row>
    <row r="629" spans="2:11" x14ac:dyDescent="0.35">
      <c r="B629" s="5" t="s">
        <v>6</v>
      </c>
      <c r="C629" s="5" t="s">
        <v>7</v>
      </c>
      <c r="D629" t="s">
        <v>911</v>
      </c>
      <c r="E629" s="5" t="s">
        <v>8</v>
      </c>
      <c r="F629" s="1">
        <f>SUM(F630:F631)</f>
        <v>0</v>
      </c>
      <c r="G629" s="1">
        <f t="shared" ref="G629:K629" si="387">SUM(G630:G631)</f>
        <v>0</v>
      </c>
      <c r="H629" s="1">
        <f t="shared" si="387"/>
        <v>1.3759211635750496E-6</v>
      </c>
      <c r="I629" s="1">
        <f t="shared" si="387"/>
        <v>8.4387913570233318E-6</v>
      </c>
      <c r="J629" s="1">
        <f t="shared" si="387"/>
        <v>1.6059069154277031E-5</v>
      </c>
      <c r="K629" s="1">
        <f t="shared" si="387"/>
        <v>1.4541461841610452E-5</v>
      </c>
    </row>
    <row r="630" spans="2:11" x14ac:dyDescent="0.35">
      <c r="B630" s="5" t="s">
        <v>6</v>
      </c>
      <c r="C630" s="5" t="s">
        <v>7</v>
      </c>
      <c r="D630" t="s">
        <v>335</v>
      </c>
      <c r="E630" s="5" t="s">
        <v>8</v>
      </c>
      <c r="F630" s="1" cm="1">
        <f t="array" ref="F630">SUMPRODUCT(("SUP_WODBIO"=[1]OUT_SyntheticFuels!$C$4:$C$1000)*1,("elc35"=[1]OUT_SyntheticFuels!$A$4:$A$1000)*1,("Var_Fout"=[1]OUT_SyntheticFuels!$B$4:$B$1000)*1,[1]OUT_SyntheticFuels!E$4:E$1000)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SUMPRODUCT(("SUP_WODBIO"=[1]OUT_SyntheticFuels!$C$4:$C$1000)*1,("elc35"=[1]OUT_SyntheticFuels!$A$4:$A$1000)*1,("Var_Fout"=[1]OUT_SyntheticFuels!$B$4:$B$1000)*1,[1]OUT_SyntheticFuels!F$4:F$1000)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SUMPRODUCT(("SUP_WODBIO"=[1]OUT_SyntheticFuels!$C$4:$C$1000)*1,("elc35"=[1]OUT_SyntheticFuels!$A$4:$A$1000)*1,("Var_Fout"=[1]OUT_SyntheticFuels!$B$4:$B$1000)*1,[1]OUT_SyntheticFuels!G$4:G$1000)</f>
        <v>1.3759211635750496E-6</v>
      </c>
      <c r="I630" s="1" cm="1">
        <f t="array" ref="I630">SUMPRODUCT(("SUP_WODBIO"=[1]OUT_SyntheticFuels!$C$4:$C$1000)*1,("elc35"=[1]OUT_SyntheticFuels!$A$4:$A$1000)*1,("Var_Fout"=[1]OUT_SyntheticFuels!$B$4:$B$1000)*1,[1]OUT_SyntheticFuels!H$4:H$1000)</f>
        <v>8.4387913570233318E-6</v>
      </c>
      <c r="J630" s="1" cm="1">
        <f t="array" ref="J630">SUMPRODUCT(("SUP_WODBIO"=[1]OUT_SyntheticFuels!$C$4:$C$1000)*1,("elc35"=[1]OUT_SyntheticFuels!$A$4:$A$1000)*1,("Var_Fout"=[1]OUT_SyntheticFuels!$B$4:$B$1000)*1,[1]OUT_SyntheticFuels!I$4:I$1000)</f>
        <v>8.0383927060198176E-6</v>
      </c>
      <c r="K630" s="1" cm="1">
        <f t="array" ref="K630">SUMPRODUCT(("SUP_WODBIO"=[1]OUT_SyntheticFuels!$C$4:$C$1000)*1,("elc35"=[1]OUT_SyntheticFuels!$A$4:$A$1000)*1,("Var_Fout"=[1]OUT_SyntheticFuels!$B$4:$B$1000)*1,[1]OUT_SyntheticFuels!J$4:J$1000)</f>
        <v>5.0033672780399193E-6</v>
      </c>
    </row>
    <row r="631" spans="2:11" x14ac:dyDescent="0.35">
      <c r="B631" s="5" t="s">
        <v>6</v>
      </c>
      <c r="C631" s="5" t="s">
        <v>7</v>
      </c>
      <c r="D631" t="s">
        <v>336</v>
      </c>
      <c r="E631" s="5" t="s">
        <v>8</v>
      </c>
      <c r="F631" s="1" cm="1">
        <f t="array" ref="F631">SUMPRODUCT(("SUP_WODBIOCCS"=[1]OUT_SyntheticFuels!$C$4:$C$1000)*1,("elc35"=[1]OUT_SyntheticFuels!$A$4:$A$1000)*1,("Var_Fout"=[1]OUT_SyntheticFuels!$B$4:$B$1000)*1,[1]OUT_SyntheticFuels!E$4:E$1000)</f>
        <v>0</v>
      </c>
      <c r="G631" s="1" cm="1">
        <f t="array" ref="G631">SUMPRODUCT(("SUP_WODBIOCCS"=[1]OUT_SyntheticFuels!$C$4:$C$1000)*1,("elc35"=[1]OUT_SyntheticFuels!$A$4:$A$1000)*1,("Var_Fout"=[1]OUT_SyntheticFuels!$B$4:$B$1000)*1,[1]OUT_SyntheticFuels!F$4:F$1000)</f>
        <v>0</v>
      </c>
      <c r="H631" s="1" cm="1">
        <f t="array" ref="H631">SUMPRODUCT(("SUP_WODBIOCCS"=[1]OUT_SyntheticFuels!$C$4:$C$1000)*1,("elc35"=[1]OUT_SyntheticFuels!$A$4:$A$1000)*1,("Var_Fout"=[1]OUT_SyntheticFuels!$B$4:$B$1000)*1,[1]OUT_SyntheticFuels!G$4:G$1000)</f>
        <v>0</v>
      </c>
      <c r="I631" s="1" cm="1">
        <f t="array" ref="I631">SUMPRODUCT(("SUP_WODBIOCCS"=[1]OUT_SyntheticFuels!$C$4:$C$1000)*1,("elc35"=[1]OUT_SyntheticFuels!$A$4:$A$1000)*1,("Var_Fout"=[1]OUT_SyntheticFuels!$B$4:$B$1000)*1,[1]OUT_SyntheticFuels!H$4:H$1000)</f>
        <v>0</v>
      </c>
      <c r="J631" s="1" cm="1">
        <f t="array" ref="J631">SUMPRODUCT(("SUP_WODBIOCCS"=[1]OUT_SyntheticFuels!$C$4:$C$1000)*1,("elc35"=[1]OUT_SyntheticFuels!$A$4:$A$1000)*1,("Var_Fout"=[1]OUT_SyntheticFuels!$B$4:$B$1000)*1,[1]OUT_SyntheticFuels!I$4:I$1000)</f>
        <v>8.0206764482572137E-6</v>
      </c>
      <c r="K631" s="1" cm="1">
        <f t="array" ref="K631">SUMPRODUCT(("SUP_WODBIOCCS"=[1]OUT_SyntheticFuels!$C$4:$C$1000)*1,("elc35"=[1]OUT_SyntheticFuels!$A$4:$A$1000)*1,("Var_Fout"=[1]OUT_SyntheticFuels!$B$4:$B$1000)*1,[1]OUT_SyntheticFuels!J$4:J$1000)</f>
        <v>9.5380945635705318E-6</v>
      </c>
    </row>
    <row r="632" spans="2:11" x14ac:dyDescent="0.35">
      <c r="B632" s="5" t="s">
        <v>6</v>
      </c>
      <c r="C632" s="5" t="s">
        <v>7</v>
      </c>
      <c r="D632" s="2" t="s">
        <v>385</v>
      </c>
      <c r="E632" s="9" t="s">
        <v>8</v>
      </c>
      <c r="F632" s="3">
        <f>F633+F634+F639</f>
        <v>0</v>
      </c>
      <c r="G632" s="3">
        <f t="shared" ref="G632" si="388">G633+G634+G639</f>
        <v>5.6428669085021445E-6</v>
      </c>
      <c r="H632" s="3">
        <f t="shared" ref="H632" si="389">H633+H634+H639</f>
        <v>8.8548700336870121E-6</v>
      </c>
      <c r="I632" s="3">
        <f t="shared" ref="I632" si="390">I633+I634+I639</f>
        <v>2.5316374071069967E-5</v>
      </c>
      <c r="J632" s="3">
        <f t="shared" ref="J632" si="391">J633+J634+J639</f>
        <v>4.7171674275684318E-5</v>
      </c>
      <c r="K632" s="3">
        <f t="shared" ref="K632" si="392">K633+K634+K639</f>
        <v>4.5385990813927228E-5</v>
      </c>
    </row>
    <row r="633" spans="2:11" x14ac:dyDescent="0.35">
      <c r="B633" s="5" t="s">
        <v>6</v>
      </c>
      <c r="C633" s="5" t="s">
        <v>7</v>
      </c>
      <c r="D633" t="s">
        <v>337</v>
      </c>
      <c r="E633" s="5" t="s">
        <v>8</v>
      </c>
      <c r="F633" s="1" cm="1">
        <f t="array" ref="F633">SUMPRODUCT(("SUP_MNRBIO"=[1]OUT_SyntheticFuels!$C$4:$C$1000)*1,("Var_Fout"=[1]OUT_SyntheticFuels!$B$4:$B$1000)*1,("LTH"=[1]OUT_SyntheticFuels!$A$4:$A$1000)*1,[1]OUT_SyntheticFuels!E$4:E$1000)</f>
        <v>0</v>
      </c>
      <c r="G633" s="1" cm="1">
        <f t="array" ref="G633">SUMPRODUCT(("SUP_MNRBIO"=[1]OUT_SyntheticFuels!$C$4:$C$1000)*1,("Var_Fout"=[1]OUT_SyntheticFuels!$B$4:$B$1000)*1,("LTH"=[1]OUT_SyntheticFuels!$A$4:$A$1000)*1,[1]OUT_SyntheticFuels!F$4:F$1000)</f>
        <v>0</v>
      </c>
      <c r="H633" s="1" cm="1">
        <f t="array" ref="H633">SUMPRODUCT(("SUP_MNRBIO"=[1]OUT_SyntheticFuels!$C$4:$C$1000)*1,("Var_Fout"=[1]OUT_SyntheticFuels!$B$4:$B$1000)*1,("LTH"=[1]OUT_SyntheticFuels!$A$4:$A$1000)*1,[1]OUT_SyntheticFuels!G$4:G$1000)</f>
        <v>0</v>
      </c>
      <c r="I633" s="1" cm="1">
        <f t="array" ref="I633">SUMPRODUCT(("SUP_MNRBIO"=[1]OUT_SyntheticFuels!$C$4:$C$1000)*1,("Var_Fout"=[1]OUT_SyntheticFuels!$B$4:$B$1000)*1,("LTH"=[1]OUT_SyntheticFuels!$A$4:$A$1000)*1,[1]OUT_SyntheticFuels!H$4:H$1000)</f>
        <v>0</v>
      </c>
      <c r="J633" s="1" cm="1">
        <f t="array" ref="J633">SUMPRODUCT(("SUP_MNRBIO"=[1]OUT_SyntheticFuels!$C$4:$C$1000)*1,("Var_Fout"=[1]OUT_SyntheticFuels!$B$4:$B$1000)*1,("LTH"=[1]OUT_SyntheticFuels!$A$4:$A$1000)*1,[1]OUT_SyntheticFuels!I$4:I$1000)</f>
        <v>0</v>
      </c>
      <c r="K633" s="1" cm="1">
        <f t="array" ref="K633">SUMPRODUCT(("SUP_MNRBIO"=[1]OUT_SyntheticFuels!$C$4:$C$1000)*1,("Var_Fout"=[1]OUT_SyntheticFuels!$B$4:$B$1000)*1,("LTH"=[1]OUT_SyntheticFuels!$A$4:$A$1000)*1,[1]OUT_SyntheticFuels!J$4:J$1000)</f>
        <v>0</v>
      </c>
    </row>
    <row r="634" spans="2:11" x14ac:dyDescent="0.35">
      <c r="B634" s="5" t="s">
        <v>6</v>
      </c>
      <c r="C634" s="5" t="s">
        <v>7</v>
      </c>
      <c r="D634" t="s">
        <v>913</v>
      </c>
      <c r="E634" s="5" t="s">
        <v>8</v>
      </c>
      <c r="F634" s="1">
        <f>SUM(F635:F638)</f>
        <v>0</v>
      </c>
      <c r="G634" s="1">
        <f t="shared" ref="G634" si="393">SUM(G635:G638)</f>
        <v>0</v>
      </c>
      <c r="H634" s="1">
        <f t="shared" ref="H634" si="394">SUM(H635:H638)</f>
        <v>0</v>
      </c>
      <c r="I634" s="1">
        <f t="shared" ref="I634" si="395">SUM(I635:I638)</f>
        <v>0</v>
      </c>
      <c r="J634" s="1">
        <f t="shared" ref="J634" si="396">SUM(J635:J638)</f>
        <v>0</v>
      </c>
      <c r="K634" s="1">
        <f t="shared" ref="K634" si="397">SUM(K635:K638)</f>
        <v>0</v>
      </c>
    </row>
    <row r="635" spans="2:11" x14ac:dyDescent="0.35">
      <c r="B635" s="5" t="s">
        <v>6</v>
      </c>
      <c r="C635" s="5" t="s">
        <v>7</v>
      </c>
      <c r="D635" t="s">
        <v>338</v>
      </c>
      <c r="E635" s="5" t="s">
        <v>8</v>
      </c>
      <c r="F635" s="1" cm="1">
        <f t="array" ref="F635">SUMPRODUCT(("SUP_WSTBIO"=[1]OUT_SyntheticFuels!$C$4:$C$1000)*1,("LTH"=[1]OUT_SyntheticFuels!$A$4:$A$1000)*1,("Var_Fout"=[1]OUT_SyntheticFuels!$B$4:$B$1000)*1,[1]OUT_SyntheticFuels!E$4:E$1000)</f>
        <v>0</v>
      </c>
      <c r="G635" s="1" cm="1">
        <f t="array" ref="G635">SUMPRODUCT(("SUP_WSTBIO"=[1]OUT_SyntheticFuels!$C$4:$C$1000)*1,("LTH"=[1]OUT_SyntheticFuels!$A$4:$A$1000)*1,("Var_Fout"=[1]OUT_SyntheticFuels!$B$4:$B$1000)*1,[1]OUT_SyntheticFuels!F$4:F$1000)</f>
        <v>0</v>
      </c>
      <c r="H635" s="1" cm="1">
        <f t="array" ref="H635">SUMPRODUCT(("SUP_WSTBIO"=[1]OUT_SyntheticFuels!$C$4:$C$1000)*1,("LTH"=[1]OUT_SyntheticFuels!$A$4:$A$1000)*1,("Var_Fout"=[1]OUT_SyntheticFuels!$B$4:$B$1000)*1,[1]OUT_SyntheticFuels!G$4:G$1000)</f>
        <v>0</v>
      </c>
      <c r="I635" s="1" cm="1">
        <f t="array" ref="I635">SUMPRODUCT(("SUP_WSTBIO"=[1]OUT_SyntheticFuels!$C$4:$C$1000)*1,("LTH"=[1]OUT_SyntheticFuels!$A$4:$A$1000)*1,("Var_Fout"=[1]OUT_SyntheticFuels!$B$4:$B$1000)*1,[1]OUT_SyntheticFuels!H$4:H$1000)</f>
        <v>0</v>
      </c>
      <c r="J635" s="1" cm="1">
        <f t="array" ref="J635">SUMPRODUCT(("SUP_WSTBIO"=[1]OUT_SyntheticFuels!$C$4:$C$1000)*1,("LTH"=[1]OUT_SyntheticFuels!$A$4:$A$1000)*1,("Var_Fout"=[1]OUT_SyntheticFuels!$B$4:$B$1000)*1,[1]OUT_SyntheticFuels!I$4:I$1000)</f>
        <v>0</v>
      </c>
      <c r="K635" s="1" cm="1">
        <f t="array" ref="K635">SUMPRODUCT(("SUP_WSTBIO"=[1]OUT_SyntheticFuels!$C$4:$C$1000)*1,("LTH"=[1]OUT_SyntheticFuels!$A$4:$A$1000)*1,("Var_Fout"=[1]OUT_SyntheticFuels!$B$4:$B$1000)*1,[1]OUT_SyntheticFuels!J$4:J$1000)</f>
        <v>0</v>
      </c>
    </row>
    <row r="636" spans="2:11" x14ac:dyDescent="0.35">
      <c r="B636" s="5" t="s">
        <v>6</v>
      </c>
      <c r="C636" s="5" t="s">
        <v>7</v>
      </c>
      <c r="D636" t="s">
        <v>339</v>
      </c>
      <c r="E636" s="5" t="s">
        <v>8</v>
      </c>
      <c r="F636" s="1" cm="1">
        <f t="array" ref="F636">SUMPRODUCT(("SUP_WSTBIOCCS"=[1]OUT_SyntheticFuels!$C$4:$C$1000)*1,("LTH"=[1]OUT_SyntheticFuels!$A$4:$A$1000)*1,("Var_Fout"=[1]OUT_SyntheticFuels!$B$4:$B$1000)*1,[1]OUT_SyntheticFuels!E$4:E$1000)</f>
        <v>0</v>
      </c>
      <c r="G636" s="1" cm="1">
        <f t="array" ref="G636">SUMPRODUCT(("SUP_WSTBIOCCS"=[1]OUT_SyntheticFuels!$C$4:$C$1000)*1,("LTH"=[1]OUT_SyntheticFuels!$A$4:$A$1000)*1,("Var_Fout"=[1]OUT_SyntheticFuels!$B$4:$B$1000)*1,[1]OUT_SyntheticFuels!F$4:F$1000)</f>
        <v>0</v>
      </c>
      <c r="H636" s="1" cm="1">
        <f t="array" ref="H636">SUMPRODUCT(("SUP_WSTBIOCCS"=[1]OUT_SyntheticFuels!$C$4:$C$1000)*1,("LTH"=[1]OUT_SyntheticFuels!$A$4:$A$1000)*1,("Var_Fout"=[1]OUT_SyntheticFuels!$B$4:$B$1000)*1,[1]OUT_SyntheticFuels!G$4:G$1000)</f>
        <v>0</v>
      </c>
      <c r="I636" s="1" cm="1">
        <f t="array" ref="I636">SUMPRODUCT(("SUP_WSTBIOCCS"=[1]OUT_SyntheticFuels!$C$4:$C$1000)*1,("LTH"=[1]OUT_SyntheticFuels!$A$4:$A$1000)*1,("Var_Fout"=[1]OUT_SyntheticFuels!$B$4:$B$1000)*1,[1]OUT_SyntheticFuels!H$4:H$1000)</f>
        <v>0</v>
      </c>
      <c r="J636" s="1" cm="1">
        <f t="array" ref="J636">SUMPRODUCT(("SUP_WSTBIOCCS"=[1]OUT_SyntheticFuels!$C$4:$C$1000)*1,("LTH"=[1]OUT_SyntheticFuels!$A$4:$A$1000)*1,("Var_Fout"=[1]OUT_SyntheticFuels!$B$4:$B$1000)*1,[1]OUT_SyntheticFuels!I$4:I$1000)</f>
        <v>0</v>
      </c>
      <c r="K636" s="1" cm="1">
        <f t="array" ref="K636">SUMPRODUCT(("SUP_WSTBIOCCS"=[1]OUT_SyntheticFuels!$C$4:$C$1000)*1,("LTH"=[1]OUT_SyntheticFuels!$A$4:$A$1000)*1,("Var_Fout"=[1]OUT_SyntheticFuels!$B$4:$B$1000)*1,[1]OUT_SyntheticFuels!J$4:J$1000)</f>
        <v>0</v>
      </c>
    </row>
    <row r="637" spans="2:11" x14ac:dyDescent="0.35">
      <c r="B637" s="5" t="s">
        <v>6</v>
      </c>
      <c r="C637" s="5" t="s">
        <v>7</v>
      </c>
      <c r="D637" t="s">
        <v>340</v>
      </c>
      <c r="E637" s="5" t="s">
        <v>8</v>
      </c>
      <c r="F637" s="1" cm="1">
        <f t="array" ref="F637">SUMPRODUCT(("SUP_WSTHTGBIO"=[1]OUT_SyntheticFuels!$C$4:$C$1000)*1,("LTH"=[1]OUT_SyntheticFuels!$A$4:$A$1000)*1,("Var_Fout"=[1]OUT_SyntheticFuels!$B$4:$B$1000)*1,[1]OUT_SyntheticFuels!E$4:E$1000)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SUMPRODUCT(("SUP_WSTHTGBIO"=[1]OUT_SyntheticFuels!$C$4:$C$1000)*1,("LTH"=[1]OUT_SyntheticFuels!$A$4:$A$1000)*1,("Var_Fout"=[1]OUT_SyntheticFuels!$B$4:$B$1000)*1,[1]OUT_SyntheticFuels!F$4:F$1000)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SUMPRODUCT(("SUP_WSTHTGBIO"=[1]OUT_SyntheticFuels!$C$4:$C$1000)*1,("LTH"=[1]OUT_SyntheticFuels!$A$4:$A$1000)*1,("Var_Fout"=[1]OUT_SyntheticFuels!$B$4:$B$1000)*1,[1]OUT_SyntheticFuels!G$4:G$1000)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SUMPRODUCT(("SUP_WSTHTGBIO"=[1]OUT_SyntheticFuels!$C$4:$C$1000)*1,("LTH"=[1]OUT_SyntheticFuels!$A$4:$A$1000)*1,("Var_Fout"=[1]OUT_SyntheticFuels!$B$4:$B$1000)*1,[1]OUT_SyntheticFuels!H$4:H$1000)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SUMPRODUCT(("SUP_WSTHTGBIO"=[1]OUT_SyntheticFuels!$C$4:$C$1000)*1,("LTH"=[1]OUT_SyntheticFuels!$A$4:$A$1000)*1,("Var_Fout"=[1]OUT_SyntheticFuels!$B$4:$B$1000)*1,[1]OUT_SyntheticFuels!I$4:I$1000)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SUMPRODUCT(("SUP_WSTHTGBIO"=[1]OUT_SyntheticFuels!$C$4:$C$1000)*1,("LTH"=[1]OUT_SyntheticFuels!$A$4:$A$1000)*1,("Var_Fout"=[1]OUT_SyntheticFuels!$B$4:$B$1000)*1,[1]OUT_SyntheticFuels!J$4:J$1000)</f>
        <v>0</v>
      </c>
    </row>
    <row r="638" spans="2:11" x14ac:dyDescent="0.35">
      <c r="B638" s="5" t="s">
        <v>6</v>
      </c>
      <c r="C638" s="5" t="s">
        <v>7</v>
      </c>
      <c r="D638" t="s">
        <v>341</v>
      </c>
      <c r="E638" s="5" t="s">
        <v>8</v>
      </c>
      <c r="F638" s="1" cm="1">
        <f t="array" ref="F638">SUMPRODUCT(("SUP_WSTHTGBIOCCS"=[1]OUT_SyntheticFuels!$C$4:$C$1000)*1,("LTH"=[1]OUT_SyntheticFuels!$A$4:$A$1000)*1,("Var_Fout"=[1]OUT_SyntheticFuels!$B$4:$B$1000)*1,[1]OUT_SyntheticFuels!E$4:E$1000)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SUMPRODUCT(("SUP_WSTHTGBIOCCS"=[1]OUT_SyntheticFuels!$C$4:$C$1000)*1,("LTH"=[1]OUT_SyntheticFuels!$A$4:$A$1000)*1,("Var_Fout"=[1]OUT_SyntheticFuels!$B$4:$B$1000)*1,[1]OUT_SyntheticFuels!F$4:F$1000)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SUMPRODUCT(("SUP_WSTHTGBIOCCS"=[1]OUT_SyntheticFuels!$C$4:$C$1000)*1,("LTH"=[1]OUT_SyntheticFuels!$A$4:$A$1000)*1,("Var_Fout"=[1]OUT_SyntheticFuels!$B$4:$B$1000)*1,[1]OUT_SyntheticFuels!G$4:G$1000)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SUMPRODUCT(("SUP_WSTHTGBIOCCS"=[1]OUT_SyntheticFuels!$C$4:$C$1000)*1,("LTH"=[1]OUT_SyntheticFuels!$A$4:$A$1000)*1,("Var_Fout"=[1]OUT_SyntheticFuels!$B$4:$B$1000)*1,[1]OUT_SyntheticFuels!H$4:H$1000)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SUMPRODUCT(("SUP_WSTHTGBIOCCS"=[1]OUT_SyntheticFuels!$C$4:$C$1000)*1,("LTH"=[1]OUT_SyntheticFuels!$A$4:$A$1000)*1,("Var_Fout"=[1]OUT_SyntheticFuels!$B$4:$B$1000)*1,[1]OUT_SyntheticFuels!I$4:I$1000)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SUMPRODUCT(("SUP_WSTHTGBIOCCS"=[1]OUT_SyntheticFuels!$C$4:$C$1000)*1,("LTH"=[1]OUT_SyntheticFuels!$A$4:$A$1000)*1,("Var_Fout"=[1]OUT_SyntheticFuels!$B$4:$B$1000)*1,[1]OUT_SyntheticFuels!J$4:J$1000)</f>
        <v>0</v>
      </c>
    </row>
    <row r="639" spans="2:11" x14ac:dyDescent="0.35">
      <c r="B639" s="5" t="s">
        <v>6</v>
      </c>
      <c r="C639" s="5" t="s">
        <v>7</v>
      </c>
      <c r="D639" t="s">
        <v>912</v>
      </c>
      <c r="E639" s="5" t="s">
        <v>8</v>
      </c>
      <c r="F639" s="1">
        <f>SUM(F640:F641)</f>
        <v>0</v>
      </c>
      <c r="G639" s="1">
        <f t="shared" ref="G639" si="398">SUM(G640:G641)</f>
        <v>5.6428669085021445E-6</v>
      </c>
      <c r="H639" s="1">
        <f t="shared" ref="H639" si="399">SUM(H640:H641)</f>
        <v>8.8548700336870121E-6</v>
      </c>
      <c r="I639" s="1">
        <f t="shared" ref="I639" si="400">SUM(I640:I641)</f>
        <v>2.5316374071069967E-5</v>
      </c>
      <c r="J639" s="1">
        <f t="shared" ref="J639" si="401">SUM(J640:J641)</f>
        <v>4.7171674275684318E-5</v>
      </c>
      <c r="K639" s="1">
        <f t="shared" ref="K639" si="402">SUM(K640:K641)</f>
        <v>4.5385990813927228E-5</v>
      </c>
    </row>
    <row r="640" spans="2:11" x14ac:dyDescent="0.35">
      <c r="B640" s="5" t="s">
        <v>6</v>
      </c>
      <c r="C640" s="5" t="s">
        <v>7</v>
      </c>
      <c r="D640" t="s">
        <v>342</v>
      </c>
      <c r="E640" s="5" t="s">
        <v>8</v>
      </c>
      <c r="F640" s="1" cm="1">
        <f t="array" ref="F640">SUMPRODUCT(("SUP_WODBIO"=[1]OUT_SyntheticFuels!$C$4:$C$1000)*1,("LTH"=[1]OUT_SyntheticFuels!$A$4:$A$1000)*1,("Var_Fout"=[1]OUT_SyntheticFuels!$B$4:$B$1000)*1,[1]OUT_SyntheticFuels!E$4:E$1000)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SUMPRODUCT(("SUP_WODBIO"=[1]OUT_SyntheticFuels!$C$4:$C$1000)*1,("LTH"=[1]OUT_SyntheticFuels!$A$4:$A$1000)*1,("Var_Fout"=[1]OUT_SyntheticFuels!$B$4:$B$1000)*1,[1]OUT_SyntheticFuels!F$4:F$1000)</f>
        <v>5.6428669085021445E-6</v>
      </c>
      <c r="H640" s="1" cm="1">
        <f t="array" ref="H640">SUMPRODUCT(("SUP_WODBIO"=[1]OUT_SyntheticFuels!$C$4:$C$1000)*1,("LTH"=[1]OUT_SyntheticFuels!$A$4:$A$1000)*1,("Var_Fout"=[1]OUT_SyntheticFuels!$B$4:$B$1000)*1,[1]OUT_SyntheticFuels!G$4:G$1000)</f>
        <v>8.8548700336870121E-6</v>
      </c>
      <c r="I640" s="1" cm="1">
        <f t="array" ref="I640">SUMPRODUCT(("SUP_WODBIO"=[1]OUT_SyntheticFuels!$C$4:$C$1000)*1,("LTH"=[1]OUT_SyntheticFuels!$A$4:$A$1000)*1,("Var_Fout"=[1]OUT_SyntheticFuels!$B$4:$B$1000)*1,[1]OUT_SyntheticFuels!H$4:H$1000)</f>
        <v>2.5316374071069967E-5</v>
      </c>
      <c r="J640" s="1" cm="1">
        <f t="array" ref="J640">SUMPRODUCT(("SUP_WODBIO"=[1]OUT_SyntheticFuels!$C$4:$C$1000)*1,("LTH"=[1]OUT_SyntheticFuels!$A$4:$A$1000)*1,("Var_Fout"=[1]OUT_SyntheticFuels!$B$4:$B$1000)*1,[1]OUT_SyntheticFuels!I$4:I$1000)</f>
        <v>2.4115178118059427E-5</v>
      </c>
      <c r="K640" s="1" cm="1">
        <f t="array" ref="K640">SUMPRODUCT(("SUP_WODBIO"=[1]OUT_SyntheticFuels!$C$4:$C$1000)*1,("LTH"=[1]OUT_SyntheticFuels!$A$4:$A$1000)*1,("Var_Fout"=[1]OUT_SyntheticFuels!$B$4:$B$1000)*1,[1]OUT_SyntheticFuels!J$4:J$1000)</f>
        <v>1.7835142223035569E-5</v>
      </c>
    </row>
    <row r="641" spans="2:11" x14ac:dyDescent="0.35">
      <c r="B641" s="5" t="s">
        <v>6</v>
      </c>
      <c r="C641" s="5" t="s">
        <v>7</v>
      </c>
      <c r="D641" t="s">
        <v>343</v>
      </c>
      <c r="E641" s="5" t="s">
        <v>8</v>
      </c>
      <c r="F641" s="1" cm="1">
        <f t="array" ref="F641">SUMPRODUCT(("SUP_WODBIOCCS"=[1]OUT_SyntheticFuels!$C$4:$C$1000)*1,("LTH"=[1]OUT_SyntheticFuels!$A$4:$A$1000)*1,("Var_Fout"=[1]OUT_SyntheticFuels!$B$4:$B$1000)*1,[1]OUT_SyntheticFuels!E$4:E$1000)</f>
        <v>0</v>
      </c>
      <c r="G641" s="1" cm="1">
        <f t="array" ref="G641">SUMPRODUCT(("SUP_WODBIOCCS"=[1]OUT_SyntheticFuels!$C$4:$C$1000)*1,("LTH"=[1]OUT_SyntheticFuels!$A$4:$A$1000)*1,("Var_Fout"=[1]OUT_SyntheticFuels!$B$4:$B$1000)*1,[1]OUT_SyntheticFuels!F$4:F$1000)</f>
        <v>0</v>
      </c>
      <c r="H641" s="1" cm="1">
        <f t="array" ref="H641">SUMPRODUCT(("SUP_WODBIOCCS"=[1]OUT_SyntheticFuels!$C$4:$C$1000)*1,("LTH"=[1]OUT_SyntheticFuels!$A$4:$A$1000)*1,("Var_Fout"=[1]OUT_SyntheticFuels!$B$4:$B$1000)*1,[1]OUT_SyntheticFuels!G$4:G$1000)</f>
        <v>0</v>
      </c>
      <c r="I641" s="1" cm="1">
        <f t="array" ref="I641">SUMPRODUCT(("SUP_WODBIOCCS"=[1]OUT_SyntheticFuels!$C$4:$C$1000)*1,("LTH"=[1]OUT_SyntheticFuels!$A$4:$A$1000)*1,("Var_Fout"=[1]OUT_SyntheticFuels!$B$4:$B$1000)*1,[1]OUT_SyntheticFuels!H$4:H$1000)</f>
        <v>0</v>
      </c>
      <c r="J641" s="1" cm="1">
        <f t="array" ref="J641">SUMPRODUCT(("SUP_WODBIOCCS"=[1]OUT_SyntheticFuels!$C$4:$C$1000)*1,("LTH"=[1]OUT_SyntheticFuels!$A$4:$A$1000)*1,("Var_Fout"=[1]OUT_SyntheticFuels!$B$4:$B$1000)*1,[1]OUT_SyntheticFuels!I$4:I$1000)</f>
        <v>2.3056496157624894E-5</v>
      </c>
      <c r="K641" s="1" cm="1">
        <f t="array" ref="K641">SUMPRODUCT(("SUP_WODBIOCCS"=[1]OUT_SyntheticFuels!$C$4:$C$1000)*1,("LTH"=[1]OUT_SyntheticFuels!$A$4:$A$1000)*1,("Var_Fout"=[1]OUT_SyntheticFuels!$B$4:$B$1000)*1,[1]OUT_SyntheticFuels!J$4:J$1000)</f>
        <v>2.7550848590891663E-5</v>
      </c>
    </row>
    <row r="642" spans="2:11" x14ac:dyDescent="0.35">
      <c r="B642" s="5" t="s">
        <v>6</v>
      </c>
      <c r="C642" s="5" t="s">
        <v>7</v>
      </c>
      <c r="D642" s="2" t="s">
        <v>387</v>
      </c>
      <c r="E642" s="9" t="s">
        <v>8</v>
      </c>
      <c r="F642" s="3">
        <f>F643+F644+F649</f>
        <v>13.477476252944879</v>
      </c>
      <c r="G642" s="3">
        <f t="shared" ref="G642" si="403">G643+G644+G649</f>
        <v>20.89820503326067</v>
      </c>
      <c r="H642" s="3">
        <f t="shared" ref="H642" si="404">H643+H644+H649</f>
        <v>22.906687046872328</v>
      </c>
      <c r="I642" s="3">
        <f t="shared" ref="I642" si="405">I643+I644+I649</f>
        <v>24.441141014242998</v>
      </c>
      <c r="J642" s="3">
        <f t="shared" ref="J642" si="406">J643+J644+J649</f>
        <v>26.234814790424579</v>
      </c>
      <c r="K642" s="3">
        <f t="shared" ref="K642" si="407">K643+K644+K649</f>
        <v>37.6186006385227</v>
      </c>
    </row>
    <row r="643" spans="2:11" x14ac:dyDescent="0.35">
      <c r="B643" s="5" t="s">
        <v>6</v>
      </c>
      <c r="C643" s="5" t="s">
        <v>7</v>
      </c>
      <c r="D643" t="s">
        <v>344</v>
      </c>
      <c r="E643" s="5" t="s">
        <v>8</v>
      </c>
      <c r="F643" s="1" cm="1">
        <f t="array" ref="F643">SUMPRODUCT(("SUP_MNRBIO"=[1]OUT_SyntheticFuels!$C$4:$C$1000)*1,("VAR_FIN"=[1]OUT_SyntheticFuels!$B$4:$B$1000)*1,("MNR"=[1]OUT_SyntheticFuels!$A$4:$A$1000)*1,[1]OUT_SyntheticFuels!E$4:E$1000)</f>
        <v>3.7980974745362204</v>
      </c>
      <c r="G643" s="1" cm="1">
        <f t="array" ref="G643">SUMPRODUCT(("SUP_MNRBIO"=[1]OUT_SyntheticFuels!$C$4:$C$1000)*1,("VAR_FIN"=[1]OUT_SyntheticFuels!$B$4:$B$1000)*1,("MNR"=[1]OUT_SyntheticFuels!$A$4:$A$1000)*1,[1]OUT_SyntheticFuels!F$4:F$1000)</f>
        <v>10.171950244929162</v>
      </c>
      <c r="H643" s="1" cm="1">
        <f t="array" ref="H643">SUMPRODUCT(("SUP_MNRBIO"=[1]OUT_SyntheticFuels!$C$4:$C$1000)*1,("VAR_FIN"=[1]OUT_SyntheticFuels!$B$4:$B$1000)*1,("MNR"=[1]OUT_SyntheticFuels!$A$4:$A$1000)*1,[1]OUT_SyntheticFuels!G$4:G$1000)</f>
        <v>12.540050449912423</v>
      </c>
      <c r="I643" s="1" cm="1">
        <f t="array" ref="I643">SUMPRODUCT(("SUP_MNRBIO"=[1]OUT_SyntheticFuels!$C$4:$C$1000)*1,("VAR_FIN"=[1]OUT_SyntheticFuels!$B$4:$B$1000)*1,("MNR"=[1]OUT_SyntheticFuels!$A$4:$A$1000)*1,[1]OUT_SyntheticFuels!H$4:H$1000)</f>
        <v>12.540436679121591</v>
      </c>
      <c r="J643" s="1" cm="1">
        <f t="array" ref="J643">SUMPRODUCT(("SUP_MNRBIO"=[1]OUT_SyntheticFuels!$C$4:$C$1000)*1,("VAR_FIN"=[1]OUT_SyntheticFuels!$B$4:$B$1000)*1,("MNR"=[1]OUT_SyntheticFuels!$A$4:$A$1000)*1,[1]OUT_SyntheticFuels!I$4:I$1000)</f>
        <v>14.631053610141501</v>
      </c>
      <c r="K643" s="1" cm="1">
        <f t="array" ref="K643">SUMPRODUCT(("SUP_MNRBIO"=[1]OUT_SyntheticFuels!$C$4:$C$1000)*1,("VAR_FIN"=[1]OUT_SyntheticFuels!$B$4:$B$1000)*1,("MNR"=[1]OUT_SyntheticFuels!$A$4:$A$1000)*1,[1]OUT_SyntheticFuels!J$4:J$1000)</f>
        <v>26.817102852494489</v>
      </c>
    </row>
    <row r="644" spans="2:11" x14ac:dyDescent="0.35">
      <c r="B644" s="5" t="s">
        <v>6</v>
      </c>
      <c r="C644" s="5" t="s">
        <v>7</v>
      </c>
      <c r="D644" t="s">
        <v>914</v>
      </c>
      <c r="E644" s="5" t="s">
        <v>8</v>
      </c>
      <c r="F644" s="1">
        <f>SUM(F645:F648)</f>
        <v>9.6793787784086582</v>
      </c>
      <c r="G644" s="1">
        <f t="shared" ref="G644" si="408">SUM(G645:G648)</f>
        <v>10.726191306078787</v>
      </c>
      <c r="H644" s="1">
        <f t="shared" ref="H644" si="409">SUM(H645:H648)</f>
        <v>10.366536979672023</v>
      </c>
      <c r="I644" s="1">
        <f t="shared" ref="I644" si="410">SUM(I645:I648)</f>
        <v>11.900419525913108</v>
      </c>
      <c r="J644" s="1">
        <f t="shared" ref="J644" si="411">SUM(J645:J648)</f>
        <v>11.603209792814033</v>
      </c>
      <c r="K644" s="1">
        <f t="shared" ref="K644" si="412">SUM(K645:K648)</f>
        <v>10.800965004122684</v>
      </c>
    </row>
    <row r="645" spans="2:11" x14ac:dyDescent="0.35">
      <c r="B645" s="5" t="s">
        <v>6</v>
      </c>
      <c r="C645" s="5" t="s">
        <v>7</v>
      </c>
      <c r="D645" t="s">
        <v>345</v>
      </c>
      <c r="E645" s="5" t="s">
        <v>8</v>
      </c>
      <c r="F645" s="1" cm="1">
        <f t="array" ref="F645">SUMPRODUCT(("SUP_WSTBIO"=[1]OUT_SyntheticFuels!$C$4:$C$1000)*1,("CWST"=[1]OUT_SyntheticFuels!$A$4:$A$1000)*1,("VAR_FIN"=[1]OUT_SyntheticFuels!$B$4:$B$1000)*1,[1]OUT_SyntheticFuels!E$4:E$1000)</f>
        <v>9.6793787784086582</v>
      </c>
      <c r="G645" s="1" cm="1">
        <f t="array" ref="G645">SUMPRODUCT(("SUP_WSTBIO"=[1]OUT_SyntheticFuels!$C$4:$C$1000)*1,("CWST"=[1]OUT_SyntheticFuels!$A$4:$A$1000)*1,("VAR_FIN"=[1]OUT_SyntheticFuels!$B$4:$B$1000)*1,[1]OUT_SyntheticFuels!F$4:F$1000)</f>
        <v>10.726191306078787</v>
      </c>
      <c r="H645" s="1" cm="1">
        <f t="array" ref="H645">SUMPRODUCT(("SUP_WSTBIO"=[1]OUT_SyntheticFuels!$C$4:$C$1000)*1,("CWST"=[1]OUT_SyntheticFuels!$A$4:$A$1000)*1,("VAR_FIN"=[1]OUT_SyntheticFuels!$B$4:$B$1000)*1,[1]OUT_SyntheticFuels!G$4:G$1000)</f>
        <v>10.366536979672023</v>
      </c>
      <c r="I645" s="1" cm="1">
        <f t="array" ref="I645">SUMPRODUCT(("SUP_WSTBIO"=[1]OUT_SyntheticFuels!$C$4:$C$1000)*1,("CWST"=[1]OUT_SyntheticFuels!$A$4:$A$1000)*1,("VAR_FIN"=[1]OUT_SyntheticFuels!$B$4:$B$1000)*1,[1]OUT_SyntheticFuels!H$4:H$1000)</f>
        <v>11.900419525913108</v>
      </c>
      <c r="J645" s="1" cm="1">
        <f t="array" ref="J645">SUMPRODUCT(("SUP_WSTBIO"=[1]OUT_SyntheticFuels!$C$4:$C$1000)*1,("CWST"=[1]OUT_SyntheticFuels!$A$4:$A$1000)*1,("VAR_FIN"=[1]OUT_SyntheticFuels!$B$4:$B$1000)*1,[1]OUT_SyntheticFuels!I$4:I$1000)</f>
        <v>11.602823603072284</v>
      </c>
      <c r="K645" s="1" cm="1">
        <f t="array" ref="K645">SUMPRODUCT(("SUP_WSTBIO"=[1]OUT_SyntheticFuels!$C$4:$C$1000)*1,("CWST"=[1]OUT_SyntheticFuels!$A$4:$A$1000)*1,("VAR_FIN"=[1]OUT_SyntheticFuels!$B$4:$B$1000)*1,[1]OUT_SyntheticFuels!J$4:J$1000)</f>
        <v>10.800516412709012</v>
      </c>
    </row>
    <row r="646" spans="2:11" x14ac:dyDescent="0.35">
      <c r="B646" s="5" t="s">
        <v>6</v>
      </c>
      <c r="C646" s="5" t="s">
        <v>7</v>
      </c>
      <c r="D646" t="s">
        <v>346</v>
      </c>
      <c r="E646" s="5" t="s">
        <v>8</v>
      </c>
      <c r="F646" s="1" cm="1">
        <f t="array" ref="F646">SUMPRODUCT(("SUP_WSTBIOCCS"=[1]OUT_SyntheticFuels!$C$4:$C$1000)*1,("CWST"=[1]OUT_SyntheticFuels!$A$4:$A$1000)*1,("VAR_FIN"=[1]OUT_SyntheticFuels!$B$4:$B$1000)*1,[1]OUT_SyntheticFuels!E$4:E$1000)</f>
        <v>0</v>
      </c>
      <c r="G646" s="1" cm="1">
        <f t="array" ref="G646">SUMPRODUCT(("SUP_WSTBIOCCS"=[1]OUT_SyntheticFuels!$C$4:$C$1000)*1,("CWST"=[1]OUT_SyntheticFuels!$A$4:$A$1000)*1,("VAR_FIN"=[1]OUT_SyntheticFuels!$B$4:$B$1000)*1,[1]OUT_SyntheticFuels!F$4:F$1000)</f>
        <v>0</v>
      </c>
      <c r="H646" s="1" cm="1">
        <f t="array" ref="H646">SUMPRODUCT(("SUP_WSTBIOCCS"=[1]OUT_SyntheticFuels!$C$4:$C$1000)*1,("CWST"=[1]OUT_SyntheticFuels!$A$4:$A$1000)*1,("VAR_FIN"=[1]OUT_SyntheticFuels!$B$4:$B$1000)*1,[1]OUT_SyntheticFuels!G$4:G$1000)</f>
        <v>0</v>
      </c>
      <c r="I646" s="1" cm="1">
        <f t="array" ref="I646">SUMPRODUCT(("SUP_WSTBIOCCS"=[1]OUT_SyntheticFuels!$C$4:$C$1000)*1,("CWST"=[1]OUT_SyntheticFuels!$A$4:$A$1000)*1,("VAR_FIN"=[1]OUT_SyntheticFuels!$B$4:$B$1000)*1,[1]OUT_SyntheticFuels!H$4:H$1000)</f>
        <v>0</v>
      </c>
      <c r="J646" s="1" cm="1">
        <f t="array" ref="J646">SUMPRODUCT(("SUP_WSTBIOCCS"=[1]OUT_SyntheticFuels!$C$4:$C$1000)*1,("CWST"=[1]OUT_SyntheticFuels!$A$4:$A$1000)*1,("VAR_FIN"=[1]OUT_SyntheticFuels!$B$4:$B$1000)*1,[1]OUT_SyntheticFuels!I$4:I$1000)</f>
        <v>0</v>
      </c>
      <c r="K646" s="1" cm="1">
        <f t="array" ref="K646">SUMPRODUCT(("SUP_WSTBIOCCS"=[1]OUT_SyntheticFuels!$C$4:$C$1000)*1,("CWST"=[1]OUT_SyntheticFuels!$A$4:$A$1000)*1,("VAR_FIN"=[1]OUT_SyntheticFuels!$B$4:$B$1000)*1,[1]OUT_SyntheticFuels!J$4:J$1000)</f>
        <v>0</v>
      </c>
    </row>
    <row r="647" spans="2:11" x14ac:dyDescent="0.35">
      <c r="B647" s="5" t="s">
        <v>6</v>
      </c>
      <c r="C647" s="5" t="s">
        <v>7</v>
      </c>
      <c r="D647" t="s">
        <v>347</v>
      </c>
      <c r="E647" s="5" t="s">
        <v>8</v>
      </c>
      <c r="F647" s="1" cm="1">
        <f t="array" ref="F647">SUMPRODUCT(("SUP_WSTHTGBIO"=[1]OUT_SyntheticFuels!$C$4:$C$1000)*1,("CWST"=[1]OUT_SyntheticFuels!$A$4:$A$1000)*1,("VAR_FIN"=[1]OUT_SyntheticFuels!$B$4:$B$1000)*1,[1]OUT_SyntheticFuels!E$4:E$1000)</f>
        <v>0</v>
      </c>
      <c r="G647" s="1" cm="1">
        <f t="array" ref="G647">SUMPRODUCT(("SUP_WSTHTGBIO"=[1]OUT_SyntheticFuels!$C$4:$C$1000)*1,("CWST"=[1]OUT_SyntheticFuels!$A$4:$A$1000)*1,("VAR_FIN"=[1]OUT_SyntheticFuels!$B$4:$B$1000)*1,[1]OUT_SyntheticFuels!F$4:F$1000)</f>
        <v>0</v>
      </c>
      <c r="H647" s="1" cm="1">
        <f t="array" ref="H647">SUMPRODUCT(("SUP_WSTHTGBIO"=[1]OUT_SyntheticFuels!$C$4:$C$1000)*1,("CWST"=[1]OUT_SyntheticFuels!$A$4:$A$1000)*1,("VAR_FIN"=[1]OUT_SyntheticFuels!$B$4:$B$1000)*1,[1]OUT_SyntheticFuels!G$4:G$1000)</f>
        <v>0</v>
      </c>
      <c r="I647" s="1" cm="1">
        <f t="array" ref="I647">SUMPRODUCT(("SUP_WSTHTGBIO"=[1]OUT_SyntheticFuels!$C$4:$C$1000)*1,("CWST"=[1]OUT_SyntheticFuels!$A$4:$A$1000)*1,("VAR_FIN"=[1]OUT_SyntheticFuels!$B$4:$B$1000)*1,[1]OUT_SyntheticFuels!H$4:H$1000)</f>
        <v>0</v>
      </c>
      <c r="J647" s="1" cm="1">
        <f t="array" ref="J647">SUMPRODUCT(("SUP_WSTHTGBIO"=[1]OUT_SyntheticFuels!$C$4:$C$1000)*1,("CWST"=[1]OUT_SyntheticFuels!$A$4:$A$1000)*1,("VAR_FIN"=[1]OUT_SyntheticFuels!$B$4:$B$1000)*1,[1]OUT_SyntheticFuels!I$4:I$1000)</f>
        <v>2.9839520236262456E-4</v>
      </c>
      <c r="K647" s="1" cm="1">
        <f t="array" ref="K647">SUMPRODUCT(("SUP_WSTHTGBIO"=[1]OUT_SyntheticFuels!$C$4:$C$1000)*1,("CWST"=[1]OUT_SyntheticFuels!$A$4:$A$1000)*1,("VAR_FIN"=[1]OUT_SyntheticFuels!$B$4:$B$1000)*1,[1]OUT_SyntheticFuels!J$4:J$1000)</f>
        <v>3.3087109398872614E-4</v>
      </c>
    </row>
    <row r="648" spans="2:11" x14ac:dyDescent="0.35">
      <c r="B648" s="5" t="s">
        <v>6</v>
      </c>
      <c r="C648" s="5" t="s">
        <v>7</v>
      </c>
      <c r="D648" t="s">
        <v>348</v>
      </c>
      <c r="E648" s="5" t="s">
        <v>8</v>
      </c>
      <c r="F648" s="1" cm="1">
        <f t="array" ref="F648">SUMPRODUCT(("SUP_WSTHTGBIOCCS"=[1]OUT_SyntheticFuels!$C$4:$C$1000)*1,("CWST"=[1]OUT_SyntheticFuels!$A$4:$A$1000)*1,("VAR_FIN"=[1]OUT_SyntheticFuels!$B$4:$B$1000)*1,[1]OUT_SyntheticFuels!E$4:E$1000)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SUMPRODUCT(("SUP_WSTHTGBIOCCS"=[1]OUT_SyntheticFuels!$C$4:$C$1000)*1,("CWST"=[1]OUT_SyntheticFuels!$A$4:$A$1000)*1,("VAR_FIN"=[1]OUT_SyntheticFuels!$B$4:$B$1000)*1,[1]OUT_SyntheticFuels!F$4:F$1000)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SUMPRODUCT(("SUP_WSTHTGBIOCCS"=[1]OUT_SyntheticFuels!$C$4:$C$1000)*1,("CWST"=[1]OUT_SyntheticFuels!$A$4:$A$1000)*1,("VAR_FIN"=[1]OUT_SyntheticFuels!$B$4:$B$1000)*1,[1]OUT_SyntheticFuels!G$4:G$1000)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SUMPRODUCT(("SUP_WSTHTGBIOCCS"=[1]OUT_SyntheticFuels!$C$4:$C$1000)*1,("CWST"=[1]OUT_SyntheticFuels!$A$4:$A$1000)*1,("VAR_FIN"=[1]OUT_SyntheticFuels!$B$4:$B$1000)*1,[1]OUT_SyntheticFuels!H$4:H$1000)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SUMPRODUCT(("SUP_WSTHTGBIOCCS"=[1]OUT_SyntheticFuels!$C$4:$C$1000)*1,("CWST"=[1]OUT_SyntheticFuels!$A$4:$A$1000)*1,("VAR_FIN"=[1]OUT_SyntheticFuels!$B$4:$B$1000)*1,[1]OUT_SyntheticFuels!I$4:I$1000)</f>
        <v>8.7794539385929306E-5</v>
      </c>
      <c r="K648" s="1" cm="1">
        <f t="array" ref="K648">SUMPRODUCT(("SUP_WSTHTGBIOCCS"=[1]OUT_SyntheticFuels!$C$4:$C$1000)*1,("CWST"=[1]OUT_SyntheticFuels!$A$4:$A$1000)*1,("VAR_FIN"=[1]OUT_SyntheticFuels!$B$4:$B$1000)*1,[1]OUT_SyntheticFuels!J$4:J$1000)</f>
        <v>1.1772031968412721E-4</v>
      </c>
    </row>
    <row r="649" spans="2:11" x14ac:dyDescent="0.35">
      <c r="B649" s="5" t="s">
        <v>6</v>
      </c>
      <c r="C649" s="5" t="s">
        <v>7</v>
      </c>
      <c r="D649" t="s">
        <v>915</v>
      </c>
      <c r="E649" s="5" t="s">
        <v>8</v>
      </c>
      <c r="F649" s="1">
        <f>SUM(F650:F651)</f>
        <v>0</v>
      </c>
      <c r="G649" s="1">
        <f t="shared" ref="G649" si="413">SUM(G650:G651)</f>
        <v>6.3482252720649135E-5</v>
      </c>
      <c r="H649" s="1">
        <f t="shared" ref="H649" si="414">SUM(H650:H651)</f>
        <v>9.9617287878978798E-5</v>
      </c>
      <c r="I649" s="1">
        <f t="shared" ref="I649" si="415">SUM(I650:I651)</f>
        <v>2.848092082995372E-4</v>
      </c>
      <c r="J649" s="1">
        <f t="shared" ref="J649" si="416">SUM(J650:J651)</f>
        <v>5.5138746904481576E-4</v>
      </c>
      <c r="K649" s="1">
        <f t="shared" ref="K649" si="417">SUM(K650:K651)</f>
        <v>5.3278190552702063E-4</v>
      </c>
    </row>
    <row r="650" spans="2:11" x14ac:dyDescent="0.35">
      <c r="B650" s="5" t="s">
        <v>6</v>
      </c>
      <c r="C650" s="5" t="s">
        <v>7</v>
      </c>
      <c r="D650" t="s">
        <v>349</v>
      </c>
      <c r="E650" s="5" t="s">
        <v>8</v>
      </c>
      <c r="F650" s="1" cm="1">
        <f t="array" ref="F650">SUMPRODUCT(("SUP_WODBIO"=[1]OUT_SyntheticFuels!$C$4:$C$1000)*1,("CWOD"=[1]OUT_SyntheticFuels!$A$4:$A$1000)*1,("VAR_FIN"=[1]OUT_SyntheticFuels!$B$4:$B$1000)*1,[1]OUT_SyntheticFuels!E$4:E$1000)</f>
        <v>0</v>
      </c>
      <c r="G650" s="1" cm="1">
        <f t="array" ref="G650">SUMPRODUCT(("SUP_WODBIO"=[1]OUT_SyntheticFuels!$C$4:$C$1000)*1,("CWOD"=[1]OUT_SyntheticFuels!$A$4:$A$1000)*1,("VAR_FIN"=[1]OUT_SyntheticFuels!$B$4:$B$1000)*1,[1]OUT_SyntheticFuels!F$4:F$1000)</f>
        <v>6.3482252720649135E-5</v>
      </c>
      <c r="H650" s="1" cm="1">
        <f t="array" ref="H650">SUMPRODUCT(("SUP_WODBIO"=[1]OUT_SyntheticFuels!$C$4:$C$1000)*1,("CWOD"=[1]OUT_SyntheticFuels!$A$4:$A$1000)*1,("VAR_FIN"=[1]OUT_SyntheticFuels!$B$4:$B$1000)*1,[1]OUT_SyntheticFuels!G$4:G$1000)</f>
        <v>9.9617287878978798E-5</v>
      </c>
      <c r="I650" s="1" cm="1">
        <f t="array" ref="I650">SUMPRODUCT(("SUP_WODBIO"=[1]OUT_SyntheticFuels!$C$4:$C$1000)*1,("CWOD"=[1]OUT_SyntheticFuels!$A$4:$A$1000)*1,("VAR_FIN"=[1]OUT_SyntheticFuels!$B$4:$B$1000)*1,[1]OUT_SyntheticFuels!H$4:H$1000)</f>
        <v>2.848092082995372E-4</v>
      </c>
      <c r="J650" s="1" cm="1">
        <f t="array" ref="J650">SUMPRODUCT(("SUP_WODBIO"=[1]OUT_SyntheticFuels!$C$4:$C$1000)*1,("CWOD"=[1]OUT_SyntheticFuels!$A$4:$A$1000)*1,("VAR_FIN"=[1]OUT_SyntheticFuels!$B$4:$B$1000)*1,[1]OUT_SyntheticFuels!I$4:I$1000)</f>
        <v>2.7129575382816841E-4</v>
      </c>
      <c r="K650" s="1" cm="1">
        <f t="array" ref="K650">SUMPRODUCT(("SUP_WODBIO"=[1]OUT_SyntheticFuels!$C$4:$C$1000)*1,("CWOD"=[1]OUT_SyntheticFuels!$A$4:$A$1000)*1,("VAR_FIN"=[1]OUT_SyntheticFuels!$B$4:$B$1000)*1,[1]OUT_SyntheticFuels!J$4:J$1000)</f>
        <v>2.0064535000914989E-4</v>
      </c>
    </row>
    <row r="651" spans="2:11" x14ac:dyDescent="0.35">
      <c r="B651" s="5" t="s">
        <v>6</v>
      </c>
      <c r="C651" s="5" t="s">
        <v>7</v>
      </c>
      <c r="D651" t="s">
        <v>350</v>
      </c>
      <c r="E651" s="5" t="s">
        <v>8</v>
      </c>
      <c r="F651" s="1" cm="1">
        <f t="array" ref="F651">SUMPRODUCT(("SUP_WODBIOCCS"=[1]OUT_SyntheticFuels!$C$4:$C$1000)*1,("CWOD"=[1]OUT_SyntheticFuels!$A$4:$A$1000)*1,("VAR_FIN"=[1]OUT_SyntheticFuels!$B$4:$B$1000)*1,[1]OUT_SyntheticFuels!E$4:E$1000)</f>
        <v>0</v>
      </c>
      <c r="G651" s="1" cm="1">
        <f t="array" ref="G651">SUMPRODUCT(("SUP_WODBIOCCS"=[1]OUT_SyntheticFuels!$C$4:$C$1000)*1,("CWOD"=[1]OUT_SyntheticFuels!$A$4:$A$1000)*1,("VAR_FIN"=[1]OUT_SyntheticFuels!$B$4:$B$1000)*1,[1]OUT_SyntheticFuels!F$4:F$1000)</f>
        <v>0</v>
      </c>
      <c r="H651" s="1" cm="1">
        <f t="array" ref="H651">SUMPRODUCT(("SUP_WODBIOCCS"=[1]OUT_SyntheticFuels!$C$4:$C$1000)*1,("CWOD"=[1]OUT_SyntheticFuels!$A$4:$A$1000)*1,("VAR_FIN"=[1]OUT_SyntheticFuels!$B$4:$B$1000)*1,[1]OUT_SyntheticFuels!G$4:G$1000)</f>
        <v>0</v>
      </c>
      <c r="I651" s="1" cm="1">
        <f t="array" ref="I651">SUMPRODUCT(("SUP_WODBIOCCS"=[1]OUT_SyntheticFuels!$C$4:$C$1000)*1,("CWOD"=[1]OUT_SyntheticFuels!$A$4:$A$1000)*1,("VAR_FIN"=[1]OUT_SyntheticFuels!$B$4:$B$1000)*1,[1]OUT_SyntheticFuels!H$4:H$1000)</f>
        <v>0</v>
      </c>
      <c r="J651" s="1" cm="1">
        <f t="array" ref="J651">SUMPRODUCT(("SUP_WODBIOCCS"=[1]OUT_SyntheticFuels!$C$4:$C$1000)*1,("CWOD"=[1]OUT_SyntheticFuels!$A$4:$A$1000)*1,("VAR_FIN"=[1]OUT_SyntheticFuels!$B$4:$B$1000)*1,[1]OUT_SyntheticFuels!I$4:I$1000)</f>
        <v>2.800917152166473E-4</v>
      </c>
      <c r="K651" s="1" cm="1">
        <f t="array" ref="K651">SUMPRODUCT(("SUP_WODBIOCCS"=[1]OUT_SyntheticFuels!$C$4:$C$1000)*1,("CWOD"=[1]OUT_SyntheticFuels!$A$4:$A$1000)*1,("VAR_FIN"=[1]OUT_SyntheticFuels!$B$4:$B$1000)*1,[1]OUT_SyntheticFuels!J$4:J$1000)</f>
        <v>3.3213655551787071E-4</v>
      </c>
    </row>
    <row r="652" spans="2:11" x14ac:dyDescent="0.35">
      <c r="B652" s="5" t="s">
        <v>6</v>
      </c>
      <c r="C652" s="5" t="s">
        <v>7</v>
      </c>
      <c r="D652" s="2" t="s">
        <v>388</v>
      </c>
      <c r="E652" s="9" t="s">
        <v>8</v>
      </c>
      <c r="F652" s="14" t="s">
        <v>292</v>
      </c>
      <c r="G652" s="14" t="s">
        <v>292</v>
      </c>
      <c r="H652" s="14" t="s">
        <v>292</v>
      </c>
      <c r="I652" s="14" t="s">
        <v>292</v>
      </c>
      <c r="J652" s="14" t="s">
        <v>292</v>
      </c>
      <c r="K652" s="14" t="s">
        <v>292</v>
      </c>
    </row>
    <row r="653" spans="2:11" x14ac:dyDescent="0.35">
      <c r="B653" s="5" t="s">
        <v>6</v>
      </c>
      <c r="C653" s="5" t="s">
        <v>7</v>
      </c>
      <c r="D653" t="s">
        <v>351</v>
      </c>
      <c r="E653" s="5" t="s">
        <v>8</v>
      </c>
      <c r="F653" s="4">
        <f t="shared" ref="F653:K653" si="418">IFERROR(SUM(F633,F623,F613)/F643,"-")</f>
        <v>0.34965034965035019</v>
      </c>
      <c r="G653" s="4">
        <f t="shared" si="418"/>
        <v>0.34965034965035052</v>
      </c>
      <c r="H653" s="4">
        <f t="shared" si="418"/>
        <v>0.3496503496503498</v>
      </c>
      <c r="I653" s="4">
        <f t="shared" si="418"/>
        <v>0.34965034965034963</v>
      </c>
      <c r="J653" s="4">
        <f t="shared" si="418"/>
        <v>0.34965034965034986</v>
      </c>
      <c r="K653" s="4">
        <f t="shared" si="418"/>
        <v>0.34965034965034991</v>
      </c>
    </row>
    <row r="654" spans="2:11" x14ac:dyDescent="0.35">
      <c r="B654" s="5" t="s">
        <v>6</v>
      </c>
      <c r="C654" s="5" t="s">
        <v>7</v>
      </c>
      <c r="D654" t="s">
        <v>352</v>
      </c>
      <c r="E654" s="5" t="s">
        <v>8</v>
      </c>
      <c r="F654" s="4">
        <f t="shared" ref="F654:K657" si="419">IFERROR(SUM(F635,F625,F615)/F645,"-")</f>
        <v>0.59322033898305115</v>
      </c>
      <c r="G654" s="4">
        <f t="shared" si="419"/>
        <v>0.59322033898305171</v>
      </c>
      <c r="H654" s="4">
        <f t="shared" si="419"/>
        <v>0.59322033898305127</v>
      </c>
      <c r="I654" s="4">
        <f t="shared" si="419"/>
        <v>0.59322033898305127</v>
      </c>
      <c r="J654" s="4">
        <f t="shared" si="419"/>
        <v>0.59322033898305115</v>
      </c>
      <c r="K654" s="4">
        <f t="shared" si="419"/>
        <v>0.59322033898305082</v>
      </c>
    </row>
    <row r="655" spans="2:11" x14ac:dyDescent="0.35">
      <c r="B655" s="5" t="s">
        <v>6</v>
      </c>
      <c r="C655" s="5" t="s">
        <v>7</v>
      </c>
      <c r="D655" t="s">
        <v>353</v>
      </c>
      <c r="E655" s="5" t="s">
        <v>8</v>
      </c>
      <c r="F655" s="4" t="str">
        <f t="shared" si="419"/>
        <v>-</v>
      </c>
      <c r="G655" s="4" t="str">
        <f t="shared" si="419"/>
        <v>-</v>
      </c>
      <c r="H655" s="4" t="str">
        <f t="shared" si="419"/>
        <v>-</v>
      </c>
      <c r="I655" s="4" t="str">
        <f t="shared" si="419"/>
        <v>-</v>
      </c>
      <c r="J655" s="4" t="str">
        <f t="shared" si="419"/>
        <v>-</v>
      </c>
      <c r="K655" s="4" t="str">
        <f t="shared" si="419"/>
        <v>-</v>
      </c>
    </row>
    <row r="656" spans="2:11" x14ac:dyDescent="0.35">
      <c r="B656" s="5" t="s">
        <v>6</v>
      </c>
      <c r="C656" s="5" t="s">
        <v>7</v>
      </c>
      <c r="D656" t="s">
        <v>354</v>
      </c>
      <c r="E656" s="5" t="s">
        <v>8</v>
      </c>
      <c r="F656" s="4" t="str">
        <f t="shared" si="419"/>
        <v>-</v>
      </c>
      <c r="G656" s="4" t="str">
        <f t="shared" si="419"/>
        <v>-</v>
      </c>
      <c r="H656" s="4" t="str">
        <f t="shared" si="419"/>
        <v>-</v>
      </c>
      <c r="I656" s="4" t="str">
        <f t="shared" si="419"/>
        <v>-</v>
      </c>
      <c r="J656" s="4">
        <f t="shared" si="419"/>
        <v>0.69999999999999984</v>
      </c>
      <c r="K656" s="4">
        <f t="shared" si="419"/>
        <v>0.69999999999999962</v>
      </c>
    </row>
    <row r="657" spans="2:11" x14ac:dyDescent="0.35">
      <c r="B657" s="5" t="s">
        <v>6</v>
      </c>
      <c r="C657" s="5" t="s">
        <v>7</v>
      </c>
      <c r="D657" t="s">
        <v>355</v>
      </c>
      <c r="E657" s="5" t="s">
        <v>8</v>
      </c>
      <c r="F657" s="4" t="str">
        <f t="shared" si="419"/>
        <v>-</v>
      </c>
      <c r="G657" s="4" t="str">
        <f t="shared" si="419"/>
        <v>-</v>
      </c>
      <c r="H657" s="4" t="str">
        <f t="shared" si="419"/>
        <v>-</v>
      </c>
      <c r="I657" s="4" t="str">
        <f t="shared" si="419"/>
        <v>-</v>
      </c>
      <c r="J657" s="4">
        <f t="shared" si="419"/>
        <v>0.63000000000000089</v>
      </c>
      <c r="K657" s="4">
        <f t="shared" si="419"/>
        <v>0.63000000000000067</v>
      </c>
    </row>
    <row r="658" spans="2:11" x14ac:dyDescent="0.35">
      <c r="B658" s="5" t="s">
        <v>6</v>
      </c>
      <c r="C658" s="5" t="s">
        <v>7</v>
      </c>
      <c r="D658" t="s">
        <v>356</v>
      </c>
      <c r="E658" s="5" t="s">
        <v>8</v>
      </c>
      <c r="F658" s="4" t="str">
        <f t="shared" ref="F658:K659" si="420">IFERROR(SUM(F640,F630,F620)/F650,"-")</f>
        <v>-</v>
      </c>
      <c r="G658" s="4">
        <f t="shared" si="420"/>
        <v>0.82962962962962938</v>
      </c>
      <c r="H658" s="4">
        <f t="shared" si="420"/>
        <v>0.84344170173950828</v>
      </c>
      <c r="I658" s="4">
        <f t="shared" si="420"/>
        <v>0.85925925925925861</v>
      </c>
      <c r="J658" s="4">
        <f t="shared" si="420"/>
        <v>0.85925925925925917</v>
      </c>
      <c r="K658" s="4">
        <f t="shared" si="420"/>
        <v>0.85456600257727922</v>
      </c>
    </row>
    <row r="659" spans="2:11" x14ac:dyDescent="0.35">
      <c r="B659" s="5" t="s">
        <v>6</v>
      </c>
      <c r="C659" s="5" t="s">
        <v>7</v>
      </c>
      <c r="D659" t="s">
        <v>357</v>
      </c>
      <c r="E659" s="5" t="s">
        <v>8</v>
      </c>
      <c r="F659" s="4" t="str">
        <f t="shared" si="420"/>
        <v>-</v>
      </c>
      <c r="G659" s="4" t="str">
        <f t="shared" si="420"/>
        <v>-</v>
      </c>
      <c r="H659" s="4" t="str">
        <f t="shared" si="420"/>
        <v>-</v>
      </c>
      <c r="I659" s="4" t="str">
        <f t="shared" si="420"/>
        <v>-</v>
      </c>
      <c r="J659" s="4">
        <f t="shared" si="420"/>
        <v>0.78324759376619046</v>
      </c>
      <c r="K659" s="4">
        <f t="shared" si="420"/>
        <v>0.78312499958823489</v>
      </c>
    </row>
    <row r="660" spans="2:11" x14ac:dyDescent="0.35">
      <c r="B660" s="9" t="s">
        <v>6</v>
      </c>
      <c r="C660" s="9" t="s">
        <v>7</v>
      </c>
      <c r="D660" s="2" t="s">
        <v>390</v>
      </c>
      <c r="E660" s="9" t="s">
        <v>8</v>
      </c>
      <c r="F660" s="3">
        <f>SUM(F661,F665,F674)</f>
        <v>3.3535542127791852E-3</v>
      </c>
      <c r="G660" s="3">
        <f t="shared" ref="G660:K660" si="421">SUM(G661,G665,G674)</f>
        <v>5.0639766062844397E-3</v>
      </c>
      <c r="H660" s="3">
        <f t="shared" si="421"/>
        <v>7.5966137018679755E-3</v>
      </c>
      <c r="I660" s="3">
        <f t="shared" si="421"/>
        <v>3.1406731373123012E-2</v>
      </c>
      <c r="J660" s="3">
        <f t="shared" si="421"/>
        <v>4.8472440982323848</v>
      </c>
      <c r="K660" s="3">
        <f t="shared" si="421"/>
        <v>17.658683438451053</v>
      </c>
    </row>
    <row r="661" spans="2:11" x14ac:dyDescent="0.35">
      <c r="B661" t="str">
        <f>B660</f>
        <v>SPS1</v>
      </c>
      <c r="C661" t="str">
        <f>C660</f>
        <v>CH</v>
      </c>
      <c r="D661" t="s">
        <v>916</v>
      </c>
      <c r="E661" s="5" t="s">
        <v>8</v>
      </c>
      <c r="F661" s="1">
        <f>[1]Other_transformation!B$28</f>
        <v>3.3535542127791852E-3</v>
      </c>
      <c r="G661" s="1">
        <f>[1]Other_transformation!C$28</f>
        <v>5.0639766062844397E-3</v>
      </c>
      <c r="H661" s="1">
        <f>[1]Other_transformation!D$28</f>
        <v>7.5966137018679755E-3</v>
      </c>
      <c r="I661" s="1">
        <f>[1]Other_transformation!E$28</f>
        <v>3.1406731373123012E-2</v>
      </c>
      <c r="J661" s="1">
        <f>[1]Other_transformation!F$28</f>
        <v>4.8472440982323848</v>
      </c>
      <c r="K661" s="1">
        <f>[1]Other_transformation!G$28</f>
        <v>11.869856846990711</v>
      </c>
    </row>
    <row r="662" spans="2:11" x14ac:dyDescent="0.35">
      <c r="B662" t="str">
        <f t="shared" ref="B662:B673" si="422">B661</f>
        <v>SPS1</v>
      </c>
      <c r="C662" t="str">
        <f t="shared" ref="C662:C673" si="423">C661</f>
        <v>CH</v>
      </c>
      <c r="D662" t="s">
        <v>403</v>
      </c>
      <c r="E662" s="5" t="s">
        <v>8</v>
      </c>
      <c r="F662" s="1" cm="1">
        <f t="array" ref="F662">SUMPRODUCT(("SUP_ELCH2"=[1]OUT_SyntheticFuels!$C$4:$C$1000)*1,ISNUMBER(SEARCH("h2",[1]OUT_SyntheticFuels!$A$4:$A$1000))*1,("Var_Fout"=[1]OUT_SyntheticFuels!$B$4:$B$1000)*1,[1]OUT_SyntheticFuels!E$4:E$1000)</f>
        <v>3.3535542127791852E-3</v>
      </c>
      <c r="G662" s="1" cm="1">
        <f t="array" ref="G662">SUMPRODUCT(("SUP_ELCH2"=[1]OUT_SyntheticFuels!$C$4:$C$1000)*1,ISNUMBER(SEARCH("h2",[1]OUT_SyntheticFuels!$A$4:$A$1000))*1,("Var_Fout"=[1]OUT_SyntheticFuels!$B$4:$B$1000)*1,[1]OUT_SyntheticFuels!F$4:F$1000)</f>
        <v>5.0639766062844397E-3</v>
      </c>
      <c r="H662" s="1" cm="1">
        <f t="array" ref="H662">SUMPRODUCT(("SUP_ELCH2"=[1]OUT_SyntheticFuels!$C$4:$C$1000)*1,ISNUMBER(SEARCH("h2",[1]OUT_SyntheticFuels!$A$4:$A$1000))*1,("Var_Fout"=[1]OUT_SyntheticFuels!$B$4:$B$1000)*1,[1]OUT_SyntheticFuels!G$4:G$1000)</f>
        <v>7.5966137018679755E-3</v>
      </c>
      <c r="I662" s="1" cm="1">
        <f t="array" ref="I662">SUMPRODUCT(("SUP_ELCH2"=[1]OUT_SyntheticFuels!$C$4:$C$1000)*1,ISNUMBER(SEARCH("h2",[1]OUT_SyntheticFuels!$A$4:$A$1000))*1,("Var_Fout"=[1]OUT_SyntheticFuels!$B$4:$B$1000)*1,[1]OUT_SyntheticFuels!H$4:H$1000)</f>
        <v>3.140548368321612E-2</v>
      </c>
      <c r="J662" s="1" cm="1">
        <f t="array" ref="J662">SUMPRODUCT(("SUP_ELCH2"=[1]OUT_SyntheticFuels!$C$4:$C$1000)*1,ISNUMBER(SEARCH("h2",[1]OUT_SyntheticFuels!$A$4:$A$1000))*1,("Var_Fout"=[1]OUT_SyntheticFuels!$B$4:$B$1000)*1,[1]OUT_SyntheticFuels!I$4:I$1000)</f>
        <v>3.9760061902626314</v>
      </c>
      <c r="K662" s="1" cm="1">
        <f t="array" ref="K662">SUMPRODUCT(("SUP_ELCH2"=[1]OUT_SyntheticFuels!$C$4:$C$1000)*1,ISNUMBER(SEARCH("h2",[1]OUT_SyntheticFuels!$A$4:$A$1000))*1,("Var_Fout"=[1]OUT_SyntheticFuels!$B$4:$B$1000)*1,[1]OUT_SyntheticFuels!J$4:J$1000)</f>
        <v>10.656982980023031</v>
      </c>
    </row>
    <row r="663" spans="2:11" x14ac:dyDescent="0.35">
      <c r="B663" t="str">
        <f t="shared" ref="B663" si="424">B662</f>
        <v>SPS1</v>
      </c>
      <c r="C663" t="str">
        <f t="shared" ref="C663" si="425">C662</f>
        <v>CH</v>
      </c>
      <c r="D663" t="s">
        <v>402</v>
      </c>
      <c r="E663" s="5" t="s">
        <v>8</v>
      </c>
      <c r="F663" s="1" cm="1">
        <f t="array" ref="F663">SUMPRODUCT(("SUP_ELCH2_D"=[1]OUT_SyntheticFuels!$C$4:$C$1000)*1,ISNUMBER(SEARCH("h2",[1]OUT_SyntheticFuels!$A$4:$A$1000))*1,("Var_Fout"=[1]OUT_SyntheticFuels!$B$4:$B$1000)*1,[1]OUT_SyntheticFuels!E$4:E$1000)</f>
        <v>0</v>
      </c>
      <c r="G663" s="1" cm="1">
        <f t="array" ref="G663">SUMPRODUCT(("SUP_ELCH2_D"=[1]OUT_SyntheticFuels!$C$4:$C$1000)*1,ISNUMBER(SEARCH("h2",[1]OUT_SyntheticFuels!$A$4:$A$1000))*1,("Var_Fout"=[1]OUT_SyntheticFuels!$B$4:$B$1000)*1,[1]OUT_SyntheticFuels!F$4:F$1000)</f>
        <v>0</v>
      </c>
      <c r="H663" s="1" cm="1">
        <f t="array" ref="H663">SUMPRODUCT(("SUP_ELCH2_D"=[1]OUT_SyntheticFuels!$C$4:$C$1000)*1,ISNUMBER(SEARCH("h2",[1]OUT_SyntheticFuels!$A$4:$A$1000))*1,("Var_Fout"=[1]OUT_SyntheticFuels!$B$4:$B$1000)*1,[1]OUT_SyntheticFuels!G$4:G$1000)</f>
        <v>0</v>
      </c>
      <c r="I663" s="1" cm="1">
        <f t="array" ref="I663">SUMPRODUCT(("SUP_ELCH2_D"=[1]OUT_SyntheticFuels!$C$4:$C$1000)*1,ISNUMBER(SEARCH("h2",[1]OUT_SyntheticFuels!$A$4:$A$1000))*1,("Var_Fout"=[1]OUT_SyntheticFuels!$B$4:$B$1000)*1,[1]OUT_SyntheticFuels!H$4:H$1000)</f>
        <v>1.2476899068884962E-6</v>
      </c>
      <c r="J663" s="1" cm="1">
        <f t="array" ref="J663">SUMPRODUCT(("SUP_ELCH2_D"=[1]OUT_SyntheticFuels!$C$4:$C$1000)*1,ISNUMBER(SEARCH("h2",[1]OUT_SyntheticFuels!$A$4:$A$1000))*1,("Var_Fout"=[1]OUT_SyntheticFuels!$B$4:$B$1000)*1,[1]OUT_SyntheticFuels!I$4:I$1000)</f>
        <v>0.86825537078302217</v>
      </c>
      <c r="K663" s="1" cm="1">
        <f t="array" ref="K663">SUMPRODUCT(("SUP_ELCH2_D"=[1]OUT_SyntheticFuels!$C$4:$C$1000)*1,ISNUMBER(SEARCH("h2",[1]OUT_SyntheticFuels!$A$4:$A$1000))*1,("Var_Fout"=[1]OUT_SyntheticFuels!$B$4:$B$1000)*1,[1]OUT_SyntheticFuels!J$4:J$1000)</f>
        <v>1.2106885987613063</v>
      </c>
    </row>
    <row r="664" spans="2:11" x14ac:dyDescent="0.35">
      <c r="B664" t="str">
        <f>B662</f>
        <v>SPS1</v>
      </c>
      <c r="C664" t="str">
        <f>C662</f>
        <v>CH</v>
      </c>
      <c r="D664" t="s">
        <v>391</v>
      </c>
      <c r="E664" s="5" t="s">
        <v>8</v>
      </c>
      <c r="F664" s="1" cm="1">
        <f t="array" ref="F664">SUMPRODUCT(("SUP_ELCH2_SOEC"=[1]OUT_SyntheticFuels!$C$4:$C$1000)*1,ISNUMBER(SEARCH("H2",[1]OUT_SyntheticFuels!$A$4:$A$1000))*1,("Var_Fout"=[1]OUT_SyntheticFuels!$B$4:$B$1000)*1,[1]OUT_SyntheticFuels!E$4:E$1000)</f>
        <v>0</v>
      </c>
      <c r="G664" s="1" cm="1">
        <f t="array" ref="G664">SUMPRODUCT(("SUP_ELCH2_SOEC"=[1]OUT_SyntheticFuels!$C$4:$C$1000)*1,ISNUMBER(SEARCH("H2",[1]OUT_SyntheticFuels!$A$4:$A$1000))*1,("Var_Fout"=[1]OUT_SyntheticFuels!$B$4:$B$1000)*1,[1]OUT_SyntheticFuels!F$4:F$1000)</f>
        <v>0</v>
      </c>
      <c r="H664" s="1" cm="1">
        <f t="array" ref="H664">SUMPRODUCT(("SUP_ELCH2_SOEC"=[1]OUT_SyntheticFuels!$C$4:$C$1000)*1,ISNUMBER(SEARCH("H2",[1]OUT_SyntheticFuels!$A$4:$A$1000))*1,("Var_Fout"=[1]OUT_SyntheticFuels!$B$4:$B$1000)*1,[1]OUT_SyntheticFuels!G$4:G$1000)</f>
        <v>0</v>
      </c>
      <c r="I664" s="1" cm="1">
        <f t="array" ref="I664">SUMPRODUCT(("SUP_ELCH2_SOEC"=[1]OUT_SyntheticFuels!$C$4:$C$1000)*1,ISNUMBER(SEARCH("H2",[1]OUT_SyntheticFuels!$A$4:$A$1000))*1,("Var_Fout"=[1]OUT_SyntheticFuels!$B$4:$B$1000)*1,[1]OUT_SyntheticFuels!H$4:H$1000)</f>
        <v>0</v>
      </c>
      <c r="J664" s="1" cm="1">
        <f t="array" ref="J664">SUMPRODUCT(("SUP_ELCH2_SOEC"=[1]OUT_SyntheticFuels!$C$4:$C$1000)*1,ISNUMBER(SEARCH("H2",[1]OUT_SyntheticFuels!$A$4:$A$1000))*1,("Var_Fout"=[1]OUT_SyntheticFuels!$B$4:$B$1000)*1,[1]OUT_SyntheticFuels!I$4:I$1000)</f>
        <v>2.9825371867315139E-3</v>
      </c>
      <c r="K664" s="1" cm="1">
        <f t="array" ref="K664">SUMPRODUCT(("SUP_ELCH2_SOEC"=[1]OUT_SyntheticFuels!$C$4:$C$1000)*1,ISNUMBER(SEARCH("H2",[1]OUT_SyntheticFuels!$A$4:$A$1000))*1,("Var_Fout"=[1]OUT_SyntheticFuels!$B$4:$B$1000)*1,[1]OUT_SyntheticFuels!J$4:J$1000)</f>
        <v>2.1852682063745275E-3</v>
      </c>
    </row>
    <row r="665" spans="2:11" x14ac:dyDescent="0.35">
      <c r="B665" t="str">
        <f t="shared" si="422"/>
        <v>SPS1</v>
      </c>
      <c r="C665" t="str">
        <f t="shared" si="423"/>
        <v>CH</v>
      </c>
      <c r="D665" t="s">
        <v>917</v>
      </c>
      <c r="E665" s="5" t="s">
        <v>8</v>
      </c>
      <c r="F665" s="1">
        <f>SUM([1]Other_transformation!B$29:B$30)</f>
        <v>0</v>
      </c>
      <c r="G665" s="1">
        <f>SUM([1]Other_transformation!C$29:C$30)</f>
        <v>0</v>
      </c>
      <c r="H665" s="1">
        <f>SUM([1]Other_transformation!D$29:D$30)</f>
        <v>0</v>
      </c>
      <c r="I665" s="1">
        <f>SUM([1]Other_transformation!E$29:E$30)</f>
        <v>0</v>
      </c>
      <c r="J665" s="1">
        <f>SUM([1]Other_transformation!F$29:F$30)</f>
        <v>0</v>
      </c>
      <c r="K665" s="1">
        <f>SUM([1]Other_transformation!G$29:G$30)</f>
        <v>0.19981582130979669</v>
      </c>
    </row>
    <row r="666" spans="2:11" x14ac:dyDescent="0.35">
      <c r="B666" t="str">
        <f t="shared" si="422"/>
        <v>SPS1</v>
      </c>
      <c r="C666" t="str">
        <f t="shared" si="423"/>
        <v>CH</v>
      </c>
      <c r="D666" t="s">
        <v>392</v>
      </c>
      <c r="E666" s="5" t="s">
        <v>8</v>
      </c>
      <c r="F666" s="1">
        <f>[1]Other_transformation!B$29</f>
        <v>0</v>
      </c>
      <c r="G666" s="1">
        <f>[1]Other_transformation!C$29</f>
        <v>0</v>
      </c>
      <c r="H666" s="1">
        <f>[1]Other_transformation!D$29</f>
        <v>0</v>
      </c>
      <c r="I666" s="1">
        <f>[1]Other_transformation!E$29</f>
        <v>0</v>
      </c>
      <c r="J666" s="1">
        <f>[1]Other_transformation!F$29</f>
        <v>0</v>
      </c>
      <c r="K666" s="1">
        <f>[1]Other_transformation!G$29</f>
        <v>8.4450661415894079E-4</v>
      </c>
    </row>
    <row r="667" spans="2:11" x14ac:dyDescent="0.35">
      <c r="B667" t="str">
        <f t="shared" si="422"/>
        <v>SPS1</v>
      </c>
      <c r="C667" t="str">
        <f t="shared" si="423"/>
        <v>CH</v>
      </c>
      <c r="D667" t="s">
        <v>393</v>
      </c>
      <c r="E667" s="5" t="s">
        <v>8</v>
      </c>
      <c r="F667" s="1">
        <f>[1]Other_transformation!B$30</f>
        <v>0</v>
      </c>
      <c r="G667" s="1">
        <f>[1]Other_transformation!C$30</f>
        <v>0</v>
      </c>
      <c r="H667" s="1">
        <f>[1]Other_transformation!D$30</f>
        <v>0</v>
      </c>
      <c r="I667" s="1">
        <f>[1]Other_transformation!E$30</f>
        <v>0</v>
      </c>
      <c r="J667" s="1">
        <f>[1]Other_transformation!F$30</f>
        <v>0</v>
      </c>
      <c r="K667" s="1">
        <f>[1]Other_transformation!G$30</f>
        <v>0.19897131469563775</v>
      </c>
    </row>
    <row r="668" spans="2:11" x14ac:dyDescent="0.35">
      <c r="B668" t="str">
        <f t="shared" si="422"/>
        <v>SPS1</v>
      </c>
      <c r="C668" t="str">
        <f t="shared" si="423"/>
        <v>CH</v>
      </c>
      <c r="D668" t="s">
        <v>918</v>
      </c>
      <c r="E668" s="5" t="s">
        <v>8</v>
      </c>
      <c r="F668" s="1">
        <f>F665-F671</f>
        <v>0</v>
      </c>
      <c r="G668" s="1">
        <f t="shared" ref="G668:K668" si="426">G665-G671</f>
        <v>0</v>
      </c>
      <c r="H668" s="1">
        <f t="shared" si="426"/>
        <v>0</v>
      </c>
      <c r="I668" s="1">
        <f t="shared" si="426"/>
        <v>0</v>
      </c>
      <c r="J668" s="1">
        <f t="shared" si="426"/>
        <v>0</v>
      </c>
      <c r="K668" s="1">
        <f t="shared" si="426"/>
        <v>0</v>
      </c>
    </row>
    <row r="669" spans="2:11" x14ac:dyDescent="0.35">
      <c r="B669" t="str">
        <f t="shared" si="422"/>
        <v>SPS1</v>
      </c>
      <c r="C669" t="str">
        <f t="shared" si="423"/>
        <v>CH</v>
      </c>
      <c r="D669" t="s">
        <v>607</v>
      </c>
      <c r="E669" s="5" t="s">
        <v>8</v>
      </c>
      <c r="F669" s="1">
        <f t="shared" ref="F669:K669" si="427">F666-F672</f>
        <v>0</v>
      </c>
      <c r="G669" s="1">
        <f t="shared" si="427"/>
        <v>0</v>
      </c>
      <c r="H669" s="1">
        <f t="shared" si="427"/>
        <v>0</v>
      </c>
      <c r="I669" s="1">
        <f t="shared" si="427"/>
        <v>0</v>
      </c>
      <c r="J669" s="1">
        <f t="shared" si="427"/>
        <v>0</v>
      </c>
      <c r="K669" s="1">
        <f t="shared" si="427"/>
        <v>0</v>
      </c>
    </row>
    <row r="670" spans="2:11" x14ac:dyDescent="0.35">
      <c r="B670" t="str">
        <f t="shared" si="422"/>
        <v>SPS1</v>
      </c>
      <c r="C670" t="str">
        <f t="shared" si="423"/>
        <v>CH</v>
      </c>
      <c r="D670" t="s">
        <v>608</v>
      </c>
      <c r="E670" s="5" t="s">
        <v>8</v>
      </c>
      <c r="F670" s="1">
        <f t="shared" ref="F670:K670" si="428">F667-F673</f>
        <v>0</v>
      </c>
      <c r="G670" s="1">
        <f t="shared" si="428"/>
        <v>0</v>
      </c>
      <c r="H670" s="1">
        <f t="shared" si="428"/>
        <v>0</v>
      </c>
      <c r="I670" s="1">
        <f t="shared" si="428"/>
        <v>0</v>
      </c>
      <c r="J670" s="1">
        <f t="shared" si="428"/>
        <v>0</v>
      </c>
      <c r="K670" s="1">
        <f t="shared" si="428"/>
        <v>0</v>
      </c>
    </row>
    <row r="671" spans="2:11" x14ac:dyDescent="0.35">
      <c r="B671" t="str">
        <f t="shared" si="422"/>
        <v>SPS1</v>
      </c>
      <c r="C671" t="str">
        <f t="shared" si="423"/>
        <v>CH</v>
      </c>
      <c r="D671" t="s">
        <v>919</v>
      </c>
      <c r="E671" s="5" t="s">
        <v>8</v>
      </c>
      <c r="F671" s="1">
        <f>SUM(F672:F673)</f>
        <v>0</v>
      </c>
      <c r="G671" s="1">
        <f t="shared" ref="G671:K671" si="429">SUM(G672:G673)</f>
        <v>0</v>
      </c>
      <c r="H671" s="1">
        <f t="shared" si="429"/>
        <v>0</v>
      </c>
      <c r="I671" s="1">
        <f t="shared" si="429"/>
        <v>0</v>
      </c>
      <c r="J671" s="1">
        <f t="shared" si="429"/>
        <v>0</v>
      </c>
      <c r="K671" s="1">
        <f t="shared" si="429"/>
        <v>0.19981582130979669</v>
      </c>
    </row>
    <row r="672" spans="2:11" x14ac:dyDescent="0.35">
      <c r="B672" t="str">
        <f t="shared" si="422"/>
        <v>SPS1</v>
      </c>
      <c r="C672" t="str">
        <f t="shared" si="423"/>
        <v>CH</v>
      </c>
      <c r="D672" t="s">
        <v>668</v>
      </c>
      <c r="E672" s="5" t="s">
        <v>8</v>
      </c>
      <c r="F672" s="1">
        <f>IFERROR([1]Energy_Balances!B$157/([1]Energy_Balances!B$157+[1]Energy_Balances!B$72),0)*F666</f>
        <v>0</v>
      </c>
      <c r="G672" s="1">
        <f>IFERROR([1]Energy_Balances!C$157/([1]Energy_Balances!C$157+[1]Energy_Balances!C$72),0)*G666</f>
        <v>0</v>
      </c>
      <c r="H672" s="1">
        <f>IFERROR([1]Energy_Balances!D$157/([1]Energy_Balances!D$157+[1]Energy_Balances!D$72),0)*H666</f>
        <v>0</v>
      </c>
      <c r="I672" s="1">
        <f>IFERROR([1]Energy_Balances!E$157/([1]Energy_Balances!E$157+[1]Energy_Balances!E$72),0)*I666</f>
        <v>0</v>
      </c>
      <c r="J672" s="1">
        <f>IFERROR([1]Energy_Balances!F$157/([1]Energy_Balances!F$157+[1]Energy_Balances!F$72),0)*J666</f>
        <v>0</v>
      </c>
      <c r="K672" s="1">
        <f>IFERROR([1]Energy_Balances!G$157/([1]Energy_Balances!G$157+[1]Energy_Balances!G$72),0)*K666</f>
        <v>8.4450661415894079E-4</v>
      </c>
    </row>
    <row r="673" spans="2:11" x14ac:dyDescent="0.35">
      <c r="B673" t="str">
        <f t="shared" si="422"/>
        <v>SPS1</v>
      </c>
      <c r="C673" t="str">
        <f t="shared" si="423"/>
        <v>CH</v>
      </c>
      <c r="D673" t="s">
        <v>669</v>
      </c>
      <c r="E673" s="5" t="s">
        <v>8</v>
      </c>
      <c r="F673" s="1">
        <f>IFERROR([1]Energy_Balances!B$157/([1]Energy_Balances!B$157+[1]Energy_Balances!B$72),0)*F667</f>
        <v>0</v>
      </c>
      <c r="G673" s="1">
        <f>IFERROR([1]Energy_Balances!C$157/([1]Energy_Balances!C$157+[1]Energy_Balances!C$72),0)*G667</f>
        <v>0</v>
      </c>
      <c r="H673" s="1">
        <f>IFERROR([1]Energy_Balances!D$157/([1]Energy_Balances!D$157+[1]Energy_Balances!D$72),0)*H667</f>
        <v>0</v>
      </c>
      <c r="I673" s="1">
        <f>IFERROR([1]Energy_Balances!E$157/([1]Energy_Balances!E$157+[1]Energy_Balances!E$72),0)*I667</f>
        <v>0</v>
      </c>
      <c r="J673" s="1">
        <f>IFERROR([1]Energy_Balances!F$157/([1]Energy_Balances!F$157+[1]Energy_Balances!F$72),0)*J667</f>
        <v>0</v>
      </c>
      <c r="K673" s="1">
        <f>IFERROR([1]Energy_Balances!G$157/([1]Energy_Balances!G$157+[1]Energy_Balances!G$72),0)*K667</f>
        <v>0.19897131469563775</v>
      </c>
    </row>
    <row r="674" spans="2:11" x14ac:dyDescent="0.35">
      <c r="B674" t="str">
        <f t="shared" ref="B674:B676" si="430">B673</f>
        <v>SPS1</v>
      </c>
      <c r="C674" t="str">
        <f t="shared" ref="C674:C676" si="431">C673</f>
        <v>CH</v>
      </c>
      <c r="D674" t="s">
        <v>920</v>
      </c>
      <c r="E674" s="5" t="s">
        <v>8</v>
      </c>
      <c r="F674" s="1">
        <f>SUM(F675:F676)</f>
        <v>0</v>
      </c>
      <c r="G674" s="1">
        <f t="shared" ref="G674:K674" si="432">SUM(G675:G676)</f>
        <v>0</v>
      </c>
      <c r="H674" s="1">
        <f t="shared" si="432"/>
        <v>0</v>
      </c>
      <c r="I674" s="1">
        <f t="shared" si="432"/>
        <v>0</v>
      </c>
      <c r="J674" s="1">
        <f t="shared" si="432"/>
        <v>0</v>
      </c>
      <c r="K674" s="1">
        <f t="shared" si="432"/>
        <v>5.589010770150546</v>
      </c>
    </row>
    <row r="675" spans="2:11" x14ac:dyDescent="0.35">
      <c r="B675" t="str">
        <f t="shared" si="430"/>
        <v>SPS1</v>
      </c>
      <c r="C675" t="str">
        <f t="shared" si="431"/>
        <v>CH</v>
      </c>
      <c r="D675" t="s">
        <v>394</v>
      </c>
      <c r="E675" s="5" t="s">
        <v>8</v>
      </c>
      <c r="F675" s="1">
        <f>[1]Other_transformation!B31</f>
        <v>0</v>
      </c>
      <c r="G675" s="1">
        <f>[1]Other_transformation!C31</f>
        <v>0</v>
      </c>
      <c r="H675" s="1">
        <f>[1]Other_transformation!D31</f>
        <v>0</v>
      </c>
      <c r="I675" s="1">
        <f>[1]Other_transformation!E31</f>
        <v>0</v>
      </c>
      <c r="J675" s="1">
        <f>[1]Other_transformation!F31</f>
        <v>0</v>
      </c>
      <c r="K675" s="1">
        <f>[1]Other_transformation!G31</f>
        <v>1.5479206353230524E-4</v>
      </c>
    </row>
    <row r="676" spans="2:11" x14ac:dyDescent="0.35">
      <c r="B676" t="str">
        <f t="shared" si="430"/>
        <v>SPS1</v>
      </c>
      <c r="C676" t="str">
        <f t="shared" si="431"/>
        <v>CH</v>
      </c>
      <c r="D676" t="s">
        <v>395</v>
      </c>
      <c r="E676" s="5" t="s">
        <v>8</v>
      </c>
      <c r="F676" s="1">
        <f>[1]Other_transformation!B32</f>
        <v>0</v>
      </c>
      <c r="G676" s="1">
        <f>[1]Other_transformation!C32</f>
        <v>0</v>
      </c>
      <c r="H676" s="1">
        <f>[1]Other_transformation!D32</f>
        <v>0</v>
      </c>
      <c r="I676" s="1">
        <f>[1]Other_transformation!E32</f>
        <v>0</v>
      </c>
      <c r="J676" s="1">
        <f>[1]Other_transformation!F32</f>
        <v>0</v>
      </c>
      <c r="K676" s="1">
        <f>[1]Other_transformation!G32</f>
        <v>5.5888559780870137</v>
      </c>
    </row>
    <row r="677" spans="2:11" x14ac:dyDescent="0.35">
      <c r="B677" s="9" t="s">
        <v>6</v>
      </c>
      <c r="C677" s="9" t="s">
        <v>7</v>
      </c>
      <c r="D677" s="2" t="s">
        <v>406</v>
      </c>
      <c r="E677" s="9" t="s">
        <v>8</v>
      </c>
      <c r="F677" s="3">
        <f>SUM(F678,F682,F684,F693)</f>
        <v>4.8956995806995404E-3</v>
      </c>
      <c r="G677" s="3">
        <f t="shared" ref="G677:K677" si="433">SUM(G678,G682,G684,G693)</f>
        <v>7.2967962626576928E-3</v>
      </c>
      <c r="H677" s="3">
        <f t="shared" si="433"/>
        <v>1.0737263182852263E-2</v>
      </c>
      <c r="I677" s="3">
        <f t="shared" si="433"/>
        <v>4.3022919689209592E-2</v>
      </c>
      <c r="J677" s="3">
        <f t="shared" si="433"/>
        <v>6.2540882824314963</v>
      </c>
      <c r="K677" s="3">
        <f t="shared" si="433"/>
        <v>24.400890280605694</v>
      </c>
    </row>
    <row r="678" spans="2:11" x14ac:dyDescent="0.35">
      <c r="B678" t="str">
        <f>B677</f>
        <v>SPS1</v>
      </c>
      <c r="C678" t="str">
        <f>C677</f>
        <v>CH</v>
      </c>
      <c r="D678" t="s">
        <v>921</v>
      </c>
      <c r="E678" s="5" t="s">
        <v>8</v>
      </c>
      <c r="F678" s="1">
        <f>SUM(F679:F681)</f>
        <v>4.8956995806995404E-3</v>
      </c>
      <c r="G678" s="1">
        <f t="shared" ref="G678:K678" si="434">SUM(G679:G681)</f>
        <v>7.2967962626576928E-3</v>
      </c>
      <c r="H678" s="1">
        <f t="shared" si="434"/>
        <v>1.0737263182852263E-2</v>
      </c>
      <c r="I678" s="1">
        <f t="shared" si="434"/>
        <v>4.3022919689209592E-2</v>
      </c>
      <c r="J678" s="1">
        <f t="shared" si="434"/>
        <v>6.253642615955318</v>
      </c>
      <c r="K678" s="1">
        <f t="shared" si="434"/>
        <v>14.474955486236055</v>
      </c>
    </row>
    <row r="679" spans="2:11" x14ac:dyDescent="0.35">
      <c r="B679" t="str">
        <f t="shared" ref="B679:B695" si="435">B678</f>
        <v>SPS1</v>
      </c>
      <c r="C679" t="str">
        <f t="shared" ref="C679:C695" si="436">C678</f>
        <v>CH</v>
      </c>
      <c r="D679" t="s">
        <v>404</v>
      </c>
      <c r="E679" s="5" t="s">
        <v>8</v>
      </c>
      <c r="F679" s="1" cm="1">
        <f t="array" ref="F679">SUMPRODUCT(("SUP_ELCH2"=[1]OUT_SyntheticFuels!$C$4:$C$1000)*1,ISNUMBER(SEARCH("ELC",[1]OUT_SyntheticFuels!$A$4:$A$1000))*1,("Var_Fin"=[1]OUT_SyntheticFuels!$B$4:$B$1000)*1,[1]OUT_SyntheticFuels!E$4:E$1000)</f>
        <v>4.8956995806995404E-3</v>
      </c>
      <c r="G679" s="1" cm="1">
        <f t="array" ref="G679">SUMPRODUCT(("SUP_ELCH2"=[1]OUT_SyntheticFuels!$C$4:$C$1000)*1,ISNUMBER(SEARCH("ELC",[1]OUT_SyntheticFuels!$A$4:$A$1000))*1,("Var_Fin"=[1]OUT_SyntheticFuels!$B$4:$B$1000)*1,[1]OUT_SyntheticFuels!F$4:F$1000)</f>
        <v>7.2967962626576928E-3</v>
      </c>
      <c r="H679" s="1" cm="1">
        <f t="array" ref="H679">SUMPRODUCT(("SUP_ELCH2"=[1]OUT_SyntheticFuels!$C$4:$C$1000)*1,ISNUMBER(SEARCH("ELC",[1]OUT_SyntheticFuels!$A$4:$A$1000))*1,("Var_Fin"=[1]OUT_SyntheticFuels!$B$4:$B$1000)*1,[1]OUT_SyntheticFuels!G$4:G$1000)</f>
        <v>1.0737263182852263E-2</v>
      </c>
      <c r="I679" s="1" cm="1">
        <f t="array" ref="I679">SUMPRODUCT(("SUP_ELCH2"=[1]OUT_SyntheticFuels!$C$4:$C$1000)*1,ISNUMBER(SEARCH("ELC",[1]OUT_SyntheticFuels!$A$4:$A$1000))*1,("Var_Fin"=[1]OUT_SyntheticFuels!$B$4:$B$1000)*1,[1]OUT_SyntheticFuels!H$4:H$1000)</f>
        <v>4.3021210524953578E-2</v>
      </c>
      <c r="J679" s="1" cm="1">
        <f t="array" ref="J679">SUMPRODUCT(("SUP_ELCH2"=[1]OUT_SyntheticFuels!$C$4:$C$1000)*1,ISNUMBER(SEARCH("ELC",[1]OUT_SyntheticFuels!$A$4:$A$1000))*1,("Var_Fin"=[1]OUT_SyntheticFuels!$B$4:$B$1000)*1,[1]OUT_SyntheticFuels!I$4:I$1000)</f>
        <v>5.130330568080816</v>
      </c>
      <c r="K679" s="1" cm="1">
        <f t="array" ref="K679">SUMPRODUCT(("SUP_ELCH2"=[1]OUT_SyntheticFuels!$C$4:$C$1000)*1,ISNUMBER(SEARCH("ELC",[1]OUT_SyntheticFuels!$A$4:$A$1000))*1,("Var_Fin"=[1]OUT_SyntheticFuels!$B$4:$B$1000)*1,[1]OUT_SyntheticFuels!J$4:J$1000)</f>
        <v>12.996320707345161</v>
      </c>
    </row>
    <row r="680" spans="2:11" x14ac:dyDescent="0.35">
      <c r="B680" t="str">
        <f t="shared" ref="B680" si="437">B679</f>
        <v>SPS1</v>
      </c>
      <c r="C680" t="str">
        <f t="shared" ref="C680" si="438">C679</f>
        <v>CH</v>
      </c>
      <c r="D680" t="s">
        <v>405</v>
      </c>
      <c r="E680" s="5" t="s">
        <v>8</v>
      </c>
      <c r="F680" s="1" cm="1">
        <f t="array" ref="F680">SUMPRODUCT(("SUP_ELCH2_D"=[1]OUT_SyntheticFuels!$C$4:$C$1000)*1,ISNUMBER(SEARCH("ELC",[1]OUT_SyntheticFuels!$A$4:$A$1000))*1,("Var_Fin"=[1]OUT_SyntheticFuels!$B$4:$B$1000)*1,[1]OUT_SyntheticFuels!E$4:E$1000)</f>
        <v>0</v>
      </c>
      <c r="G680" s="1" cm="1">
        <f t="array" ref="G680">SUMPRODUCT(("SUP_ELCH2_D"=[1]OUT_SyntheticFuels!$C$4:$C$1000)*1,ISNUMBER(SEARCH("ELC",[1]OUT_SyntheticFuels!$A$4:$A$1000))*1,("Var_Fin"=[1]OUT_SyntheticFuels!$B$4:$B$1000)*1,[1]OUT_SyntheticFuels!F$4:F$1000)</f>
        <v>0</v>
      </c>
      <c r="H680" s="1" cm="1">
        <f t="array" ref="H680">SUMPRODUCT(("SUP_ELCH2_D"=[1]OUT_SyntheticFuels!$C$4:$C$1000)*1,ISNUMBER(SEARCH("ELC",[1]OUT_SyntheticFuels!$A$4:$A$1000))*1,("Var_Fin"=[1]OUT_SyntheticFuels!$B$4:$B$1000)*1,[1]OUT_SyntheticFuels!G$4:G$1000)</f>
        <v>0</v>
      </c>
      <c r="I680" s="1" cm="1">
        <f t="array" ref="I680">SUMPRODUCT(("SUP_ELCH2_D"=[1]OUT_SyntheticFuels!$C$4:$C$1000)*1,ISNUMBER(SEARCH("ELC",[1]OUT_SyntheticFuels!$A$4:$A$1000))*1,("Var_Fin"=[1]OUT_SyntheticFuels!$B$4:$B$1000)*1,[1]OUT_SyntheticFuels!H$4:H$1000)</f>
        <v>1.7091642560116391E-6</v>
      </c>
      <c r="J680" s="1" cm="1">
        <f t="array" ref="J680">SUMPRODUCT(("SUP_ELCH2_D"=[1]OUT_SyntheticFuels!$C$4:$C$1000)*1,ISNUMBER(SEARCH("ELC",[1]OUT_SyntheticFuels!$A$4:$A$1000))*1,("Var_Fin"=[1]OUT_SyntheticFuels!$B$4:$B$1000)*1,[1]OUT_SyntheticFuels!I$4:I$1000)</f>
        <v>1.1203295106877704</v>
      </c>
      <c r="K680" s="1" cm="1">
        <f t="array" ref="K680">SUMPRODUCT(("SUP_ELCH2_D"=[1]OUT_SyntheticFuels!$C$4:$C$1000)*1,ISNUMBER(SEARCH("ELC",[1]OUT_SyntheticFuels!$A$4:$A$1000))*1,("Var_Fin"=[1]OUT_SyntheticFuels!$B$4:$B$1000)*1,[1]OUT_SyntheticFuels!J$4:J$1000)</f>
        <v>1.4764495106845188</v>
      </c>
    </row>
    <row r="681" spans="2:11" x14ac:dyDescent="0.35">
      <c r="B681" t="str">
        <f>B679</f>
        <v>SPS1</v>
      </c>
      <c r="C681" t="str">
        <f>C679</f>
        <v>CH</v>
      </c>
      <c r="D681" t="s">
        <v>396</v>
      </c>
      <c r="E681" s="5" t="s">
        <v>8</v>
      </c>
      <c r="F681" s="1" cm="1">
        <f t="array" ref="F681">SUMPRODUCT(("SUP_ELCH2_SOEC"=[1]OUT_SyntheticFuels!$C$4:$C$1000)*1,ISNUMBER(SEARCH("ELC",[1]OUT_SyntheticFuels!$A$4:$A$1000))*1,("Var_Fin"=[1]OUT_SyntheticFuels!$B$4:$B$1000)*1,[1]OUT_SyntheticFuels!E$4:E$1000)</f>
        <v>0</v>
      </c>
      <c r="G681" s="1" cm="1">
        <f t="array" ref="G681">SUMPRODUCT(("SUP_ELCH2_SOEC"=[1]OUT_SyntheticFuels!$C$4:$C$1000)*1,ISNUMBER(SEARCH("ELC",[1]OUT_SyntheticFuels!$A$4:$A$1000))*1,("Var_Fin"=[1]OUT_SyntheticFuels!$B$4:$B$1000)*1,[1]OUT_SyntheticFuels!F$4:F$1000)</f>
        <v>0</v>
      </c>
      <c r="H681" s="1" cm="1">
        <f t="array" ref="H681">SUMPRODUCT(("SUP_ELCH2_SOEC"=[1]OUT_SyntheticFuels!$C$4:$C$1000)*1,ISNUMBER(SEARCH("ELC",[1]OUT_SyntheticFuels!$A$4:$A$1000))*1,("Var_Fin"=[1]OUT_SyntheticFuels!$B$4:$B$1000)*1,[1]OUT_SyntheticFuels!G$4:G$1000)</f>
        <v>0</v>
      </c>
      <c r="I681" s="1" cm="1">
        <f t="array" ref="I681">SUMPRODUCT(("SUP_ELCH2_SOEC"=[1]OUT_SyntheticFuels!$C$4:$C$1000)*1,ISNUMBER(SEARCH("ELC",[1]OUT_SyntheticFuels!$A$4:$A$1000))*1,("Var_Fin"=[1]OUT_SyntheticFuels!$B$4:$B$1000)*1,[1]OUT_SyntheticFuels!H$4:H$1000)</f>
        <v>0</v>
      </c>
      <c r="J681" s="1" cm="1">
        <f t="array" ref="J681">SUMPRODUCT(("SUP_ELCH2_SOEC"=[1]OUT_SyntheticFuels!$C$4:$C$1000)*1,ISNUMBER(SEARCH("ELC",[1]OUT_SyntheticFuels!$A$4:$A$1000))*1,("Var_Fin"=[1]OUT_SyntheticFuels!$B$4:$B$1000)*1,[1]OUT_SyntheticFuels!I$4:I$1000)</f>
        <v>2.9825371867315139E-3</v>
      </c>
      <c r="K681" s="1" cm="1">
        <f t="array" ref="K681">SUMPRODUCT(("SUP_ELCH2_SOEC"=[1]OUT_SyntheticFuels!$C$4:$C$1000)*1,ISNUMBER(SEARCH("ELC",[1]OUT_SyntheticFuels!$A$4:$A$1000))*1,("Var_Fin"=[1]OUT_SyntheticFuels!$B$4:$B$1000)*1,[1]OUT_SyntheticFuels!J$4:J$1000)</f>
        <v>2.1852682063745275E-3</v>
      </c>
    </row>
    <row r="682" spans="2:11" x14ac:dyDescent="0.35">
      <c r="B682" t="str">
        <f t="shared" ref="B682:B683" si="439">B681</f>
        <v>SPS1</v>
      </c>
      <c r="C682" t="str">
        <f t="shared" ref="C682:C683" si="440">C681</f>
        <v>CH</v>
      </c>
      <c r="D682" t="s">
        <v>922</v>
      </c>
      <c r="E682" s="5" t="s">
        <v>8</v>
      </c>
      <c r="F682" s="1">
        <f>F683</f>
        <v>0</v>
      </c>
      <c r="G682" s="1">
        <f t="shared" ref="G682:K682" si="441">G683</f>
        <v>0</v>
      </c>
      <c r="H682" s="1">
        <f t="shared" si="441"/>
        <v>0</v>
      </c>
      <c r="I682" s="1">
        <f t="shared" si="441"/>
        <v>0</v>
      </c>
      <c r="J682" s="1">
        <f t="shared" si="441"/>
        <v>4.4566647617827189E-4</v>
      </c>
      <c r="K682" s="1">
        <f t="shared" si="441"/>
        <v>2.4280757848605848E-4</v>
      </c>
    </row>
    <row r="683" spans="2:11" x14ac:dyDescent="0.35">
      <c r="B683" t="str">
        <f t="shared" si="439"/>
        <v>SPS1</v>
      </c>
      <c r="C683" t="str">
        <f t="shared" si="440"/>
        <v>CH</v>
      </c>
      <c r="D683" t="s">
        <v>401</v>
      </c>
      <c r="E683" s="5" t="s">
        <v>8</v>
      </c>
      <c r="F683" s="1" cm="1">
        <f t="array" ref="F683">SUMPRODUCT(("SUP_ELCH2_SOEC"=[1]OUT_SyntheticFuels!$C$4:$C$1000)*1,ISNUMBER(SEARCH("CHEAT",[1]OUT_SyntheticFuels!$A$4:$A$1000))*1,("Var_Fin"=[1]OUT_SyntheticFuels!$B$4:$B$1000)*1,[1]OUT_SyntheticFuels!E$4:E$1000)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SUMPRODUCT(("SUP_ELCH2_SOEC"=[1]OUT_SyntheticFuels!$C$4:$C$1000)*1,ISNUMBER(SEARCH("CHEAT",[1]OUT_SyntheticFuels!$A$4:$A$1000))*1,("Var_Fin"=[1]OUT_SyntheticFuels!$B$4:$B$1000)*1,[1]OUT_SyntheticFuels!F$4:F$1000)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SUMPRODUCT(("SUP_ELCH2_SOEC"=[1]OUT_SyntheticFuels!$C$4:$C$1000)*1,ISNUMBER(SEARCH("CHEAT",[1]OUT_SyntheticFuels!$A$4:$A$1000))*1,("Var_Fin"=[1]OUT_SyntheticFuels!$B$4:$B$1000)*1,[1]OUT_SyntheticFuels!G$4:G$1000)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SUMPRODUCT(("SUP_ELCH2_SOEC"=[1]OUT_SyntheticFuels!$C$4:$C$1000)*1,ISNUMBER(SEARCH("CHEAT",[1]OUT_SyntheticFuels!$A$4:$A$1000))*1,("Var_Fin"=[1]OUT_SyntheticFuels!$B$4:$B$1000)*1,[1]OUT_SyntheticFuels!H$4:H$1000)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SUMPRODUCT(("SUP_ELCH2_SOEC"=[1]OUT_SyntheticFuels!$C$4:$C$1000)*1,ISNUMBER(SEARCH("CHEAT",[1]OUT_SyntheticFuels!$A$4:$A$1000))*1,("Var_Fin"=[1]OUT_SyntheticFuels!$B$4:$B$1000)*1,[1]OUT_SyntheticFuels!I$4:I$1000)</f>
        <v>4.4566647617827189E-4</v>
      </c>
      <c r="K683" s="1" cm="1">
        <f t="array" ref="K683">SUMPRODUCT(("SUP_ELCH2_SOEC"=[1]OUT_SyntheticFuels!$C$4:$C$1000)*1,ISNUMBER(SEARCH("CHEAT",[1]OUT_SyntheticFuels!$A$4:$A$1000))*1,("Var_Fin"=[1]OUT_SyntheticFuels!$B$4:$B$1000)*1,[1]OUT_SyntheticFuels!J$4:J$1000)</f>
        <v>2.4280757848605848E-4</v>
      </c>
    </row>
    <row r="684" spans="2:11" x14ac:dyDescent="0.35">
      <c r="B684" t="str">
        <f>B681</f>
        <v>SPS1</v>
      </c>
      <c r="C684" t="str">
        <f>C681</f>
        <v>CH</v>
      </c>
      <c r="D684" t="s">
        <v>923</v>
      </c>
      <c r="E684" s="5" t="s">
        <v>8</v>
      </c>
      <c r="F684" s="1">
        <f>SUM(F685:F686)</f>
        <v>0</v>
      </c>
      <c r="G684" s="1">
        <f t="shared" ref="G684:K684" si="442">SUM(G685:G686)</f>
        <v>0</v>
      </c>
      <c r="H684" s="1">
        <f t="shared" si="442"/>
        <v>0</v>
      </c>
      <c r="I684" s="1">
        <f t="shared" si="442"/>
        <v>0</v>
      </c>
      <c r="J684" s="1">
        <f t="shared" si="442"/>
        <v>0</v>
      </c>
      <c r="K684" s="1">
        <f t="shared" si="442"/>
        <v>0.2894754171099434</v>
      </c>
    </row>
    <row r="685" spans="2:11" x14ac:dyDescent="0.35">
      <c r="B685" t="str">
        <f t="shared" si="435"/>
        <v>SPS1</v>
      </c>
      <c r="C685" t="str">
        <f t="shared" si="436"/>
        <v>CH</v>
      </c>
      <c r="D685" t="s">
        <v>397</v>
      </c>
      <c r="E685" s="5" t="s">
        <v>8</v>
      </c>
      <c r="F685" s="1" cm="1">
        <f t="array" ref="F685">SUMPRODUCT(("SUP_ngaH2"=[1]OUT_SyntheticFuels!$C$4:$C$1000)*1,ISNUMBER(SEARCH("nga",[1]OUT_SyntheticFuels!$A$4:$A$1000))*1,("Var_Fin"=[1]OUT_SyntheticFuels!$B$4:$B$1000)*1,[1]OUT_SyntheticFuels!E$4:E$1000)</f>
        <v>0</v>
      </c>
      <c r="G685" s="1" cm="1">
        <f t="array" ref="G685">SUMPRODUCT(("SUP_ngaH2"=[1]OUT_SyntheticFuels!$C$4:$C$1000)*1,ISNUMBER(SEARCH("nga",[1]OUT_SyntheticFuels!$A$4:$A$1000))*1,("Var_Fin"=[1]OUT_SyntheticFuels!$B$4:$B$1000)*1,[1]OUT_SyntheticFuels!F$4:F$1000)</f>
        <v>0</v>
      </c>
      <c r="H685" s="1" cm="1">
        <f t="array" ref="H685">SUMPRODUCT(("SUP_ngaH2"=[1]OUT_SyntheticFuels!$C$4:$C$1000)*1,ISNUMBER(SEARCH("nga",[1]OUT_SyntheticFuels!$A$4:$A$1000))*1,("Var_Fin"=[1]OUT_SyntheticFuels!$B$4:$B$1000)*1,[1]OUT_SyntheticFuels!G$4:G$1000)</f>
        <v>0</v>
      </c>
      <c r="I685" s="1" cm="1">
        <f t="array" ref="I685">SUMPRODUCT(("SUP_ngaH2"=[1]OUT_SyntheticFuels!$C$4:$C$1000)*1,ISNUMBER(SEARCH("nga",[1]OUT_SyntheticFuels!$A$4:$A$1000))*1,("Var_Fin"=[1]OUT_SyntheticFuels!$B$4:$B$1000)*1,[1]OUT_SyntheticFuels!H$4:H$1000)</f>
        <v>0</v>
      </c>
      <c r="J685" s="1" cm="1">
        <f t="array" ref="J685">SUMPRODUCT(("SUP_ngaH2"=[1]OUT_SyntheticFuels!$C$4:$C$1000)*1,ISNUMBER(SEARCH("nga",[1]OUT_SyntheticFuels!$A$4:$A$1000))*1,("Var_Fin"=[1]OUT_SyntheticFuels!$B$4:$B$1000)*1,[1]OUT_SyntheticFuels!I$4:I$1000)</f>
        <v>0</v>
      </c>
      <c r="K685" s="1" cm="1">
        <f t="array" ref="K685">SUMPRODUCT(("SUP_ngaH2"=[1]OUT_SyntheticFuels!$C$4:$C$1000)*1,ISNUMBER(SEARCH("nga",[1]OUT_SyntheticFuels!$A$4:$A$1000))*1,("Var_Fin"=[1]OUT_SyntheticFuels!$B$4:$B$1000)*1,[1]OUT_SyntheticFuels!J$4:J$1000)</f>
        <v>1.111192913367043E-3</v>
      </c>
    </row>
    <row r="686" spans="2:11" x14ac:dyDescent="0.35">
      <c r="B686" t="str">
        <f t="shared" si="435"/>
        <v>SPS1</v>
      </c>
      <c r="C686" t="str">
        <f t="shared" si="436"/>
        <v>CH</v>
      </c>
      <c r="D686" t="s">
        <v>398</v>
      </c>
      <c r="E686" s="5" t="s">
        <v>8</v>
      </c>
      <c r="F686" s="1" cm="1">
        <f t="array" ref="F686">SUMPRODUCT(("SUP_ngaH2ccs"=[1]OUT_SyntheticFuels!$C$4:$C$1000)*1,ISNUMBER(SEARCH("nga",[1]OUT_SyntheticFuels!$A$4:$A$1000))*1,("Var_Fin"=[1]OUT_SyntheticFuels!$B$4:$B$1000)*1,[1]OUT_SyntheticFuels!E$4:E$1000)</f>
        <v>0</v>
      </c>
      <c r="G686" s="1" cm="1">
        <f t="array" ref="G686">SUMPRODUCT(("SUP_ngaH2ccs"=[1]OUT_SyntheticFuels!$C$4:$C$1000)*1,ISNUMBER(SEARCH("nga",[1]OUT_SyntheticFuels!$A$4:$A$1000))*1,("Var_Fin"=[1]OUT_SyntheticFuels!$B$4:$B$1000)*1,[1]OUT_SyntheticFuels!F$4:F$1000)</f>
        <v>0</v>
      </c>
      <c r="H686" s="1" cm="1">
        <f t="array" ref="H686">SUMPRODUCT(("SUP_ngaH2ccs"=[1]OUT_SyntheticFuels!$C$4:$C$1000)*1,ISNUMBER(SEARCH("nga",[1]OUT_SyntheticFuels!$A$4:$A$1000))*1,("Var_Fin"=[1]OUT_SyntheticFuels!$B$4:$B$1000)*1,[1]OUT_SyntheticFuels!G$4:G$1000)</f>
        <v>0</v>
      </c>
      <c r="I686" s="1" cm="1">
        <f t="array" ref="I686">SUMPRODUCT(("SUP_ngaH2ccs"=[1]OUT_SyntheticFuels!$C$4:$C$1000)*1,ISNUMBER(SEARCH("nga",[1]OUT_SyntheticFuels!$A$4:$A$1000))*1,("Var_Fin"=[1]OUT_SyntheticFuels!$B$4:$B$1000)*1,[1]OUT_SyntheticFuels!H$4:H$1000)</f>
        <v>0</v>
      </c>
      <c r="J686" s="1" cm="1">
        <f t="array" ref="J686">SUMPRODUCT(("SUP_ngaH2ccs"=[1]OUT_SyntheticFuels!$C$4:$C$1000)*1,ISNUMBER(SEARCH("nga",[1]OUT_SyntheticFuels!$A$4:$A$1000))*1,("Var_Fin"=[1]OUT_SyntheticFuels!$B$4:$B$1000)*1,[1]OUT_SyntheticFuels!I$4:I$1000)</f>
        <v>0</v>
      </c>
      <c r="K686" s="1" cm="1">
        <f t="array" ref="K686">SUMPRODUCT(("SUP_ngaH2ccs"=[1]OUT_SyntheticFuels!$C$4:$C$1000)*1,ISNUMBER(SEARCH("nga",[1]OUT_SyntheticFuels!$A$4:$A$1000))*1,("Var_Fin"=[1]OUT_SyntheticFuels!$B$4:$B$1000)*1,[1]OUT_SyntheticFuels!J$4:J$1000)</f>
        <v>0.28836422419657637</v>
      </c>
    </row>
    <row r="687" spans="2:11" x14ac:dyDescent="0.35">
      <c r="B687" t="str">
        <f t="shared" si="435"/>
        <v>SPS1</v>
      </c>
      <c r="C687" t="str">
        <f t="shared" si="436"/>
        <v>CH</v>
      </c>
      <c r="D687" t="s">
        <v>924</v>
      </c>
      <c r="E687" s="5" t="s">
        <v>8</v>
      </c>
      <c r="F687" s="1">
        <f>F684-F690</f>
        <v>0</v>
      </c>
      <c r="G687" s="1">
        <f t="shared" ref="G687:K687" si="443">G684-G690</f>
        <v>0</v>
      </c>
      <c r="H687" s="1">
        <f t="shared" si="443"/>
        <v>0</v>
      </c>
      <c r="I687" s="1">
        <f t="shared" si="443"/>
        <v>0</v>
      </c>
      <c r="J687" s="1">
        <f t="shared" si="443"/>
        <v>0</v>
      </c>
      <c r="K687" s="1">
        <f t="shared" si="443"/>
        <v>0</v>
      </c>
    </row>
    <row r="688" spans="2:11" x14ac:dyDescent="0.35">
      <c r="B688" t="str">
        <f t="shared" si="435"/>
        <v>SPS1</v>
      </c>
      <c r="C688" t="str">
        <f t="shared" si="436"/>
        <v>CH</v>
      </c>
      <c r="D688" t="s">
        <v>609</v>
      </c>
      <c r="E688" s="5" t="s">
        <v>8</v>
      </c>
      <c r="F688" s="1">
        <f t="shared" ref="F688:K688" si="444">F685-F691</f>
        <v>0</v>
      </c>
      <c r="G688" s="1">
        <f t="shared" si="444"/>
        <v>0</v>
      </c>
      <c r="H688" s="1">
        <f t="shared" si="444"/>
        <v>0</v>
      </c>
      <c r="I688" s="1">
        <f t="shared" si="444"/>
        <v>0</v>
      </c>
      <c r="J688" s="1">
        <f t="shared" si="444"/>
        <v>0</v>
      </c>
      <c r="K688" s="1">
        <f t="shared" si="444"/>
        <v>0</v>
      </c>
    </row>
    <row r="689" spans="2:11" x14ac:dyDescent="0.35">
      <c r="B689" t="str">
        <f t="shared" si="435"/>
        <v>SPS1</v>
      </c>
      <c r="C689" t="str">
        <f t="shared" si="436"/>
        <v>CH</v>
      </c>
      <c r="D689" t="s">
        <v>610</v>
      </c>
      <c r="E689" s="5" t="s">
        <v>8</v>
      </c>
      <c r="F689" s="1">
        <f t="shared" ref="F689:K689" si="445">F686-F692</f>
        <v>0</v>
      </c>
      <c r="G689" s="1">
        <f t="shared" si="445"/>
        <v>0</v>
      </c>
      <c r="H689" s="1">
        <f t="shared" si="445"/>
        <v>0</v>
      </c>
      <c r="I689" s="1">
        <f t="shared" si="445"/>
        <v>0</v>
      </c>
      <c r="J689" s="1">
        <f t="shared" si="445"/>
        <v>0</v>
      </c>
      <c r="K689" s="1">
        <f t="shared" si="445"/>
        <v>0</v>
      </c>
    </row>
    <row r="690" spans="2:11" x14ac:dyDescent="0.35">
      <c r="B690" t="str">
        <f t="shared" si="435"/>
        <v>SPS1</v>
      </c>
      <c r="C690" t="str">
        <f t="shared" si="436"/>
        <v>CH</v>
      </c>
      <c r="D690" t="s">
        <v>925</v>
      </c>
      <c r="E690" s="5" t="s">
        <v>8</v>
      </c>
      <c r="F690" s="1">
        <f>SUM(F691:F692)</f>
        <v>0</v>
      </c>
      <c r="G690" s="1">
        <f t="shared" ref="G690:K690" si="446">SUM(G691:G692)</f>
        <v>0</v>
      </c>
      <c r="H690" s="1">
        <f t="shared" si="446"/>
        <v>0</v>
      </c>
      <c r="I690" s="1">
        <f t="shared" si="446"/>
        <v>0</v>
      </c>
      <c r="J690" s="1">
        <f t="shared" si="446"/>
        <v>0</v>
      </c>
      <c r="K690" s="1">
        <f t="shared" si="446"/>
        <v>0.2894754171099434</v>
      </c>
    </row>
    <row r="691" spans="2:11" x14ac:dyDescent="0.35">
      <c r="B691" t="str">
        <f t="shared" si="435"/>
        <v>SPS1</v>
      </c>
      <c r="C691" t="str">
        <f t="shared" si="436"/>
        <v>CH</v>
      </c>
      <c r="D691" t="s">
        <v>670</v>
      </c>
      <c r="E691" s="5" t="s">
        <v>8</v>
      </c>
      <c r="F691" s="1">
        <f>IFERROR(F672/F666,0)*F685</f>
        <v>0</v>
      </c>
      <c r="G691" s="1">
        <f t="shared" ref="G691:K692" si="447">IFERROR(G672/G666,0)*G685</f>
        <v>0</v>
      </c>
      <c r="H691" s="1">
        <f t="shared" si="447"/>
        <v>0</v>
      </c>
      <c r="I691" s="1">
        <f t="shared" si="447"/>
        <v>0</v>
      </c>
      <c r="J691" s="1">
        <f t="shared" si="447"/>
        <v>0</v>
      </c>
      <c r="K691" s="1">
        <f t="shared" si="447"/>
        <v>1.111192913367043E-3</v>
      </c>
    </row>
    <row r="692" spans="2:11" x14ac:dyDescent="0.35">
      <c r="B692" t="str">
        <f t="shared" si="435"/>
        <v>SPS1</v>
      </c>
      <c r="C692" t="str">
        <f t="shared" si="436"/>
        <v>CH</v>
      </c>
      <c r="D692" t="s">
        <v>671</v>
      </c>
      <c r="E692" s="5" t="s">
        <v>8</v>
      </c>
      <c r="F692" s="1">
        <f>IFERROR(F673/F667,0)*F686</f>
        <v>0</v>
      </c>
      <c r="G692" s="1">
        <f t="shared" si="447"/>
        <v>0</v>
      </c>
      <c r="H692" s="1">
        <f t="shared" si="447"/>
        <v>0</v>
      </c>
      <c r="I692" s="1">
        <f t="shared" si="447"/>
        <v>0</v>
      </c>
      <c r="J692" s="1">
        <f t="shared" si="447"/>
        <v>0</v>
      </c>
      <c r="K692" s="1">
        <f t="shared" si="447"/>
        <v>0.28836422419657637</v>
      </c>
    </row>
    <row r="693" spans="2:11" x14ac:dyDescent="0.35">
      <c r="B693" t="str">
        <f t="shared" si="435"/>
        <v>SPS1</v>
      </c>
      <c r="C693" t="str">
        <f t="shared" si="436"/>
        <v>CH</v>
      </c>
      <c r="D693" t="s">
        <v>926</v>
      </c>
      <c r="E693" s="5" t="s">
        <v>8</v>
      </c>
      <c r="F693" s="1">
        <f>SUM(F694:F695)</f>
        <v>0</v>
      </c>
      <c r="G693" s="1">
        <f t="shared" ref="G693:K693" si="448">SUM(G694:G695)</f>
        <v>0</v>
      </c>
      <c r="H693" s="1">
        <f t="shared" si="448"/>
        <v>0</v>
      </c>
      <c r="I693" s="1">
        <f t="shared" si="448"/>
        <v>0</v>
      </c>
      <c r="J693" s="1">
        <f t="shared" si="448"/>
        <v>0</v>
      </c>
      <c r="K693" s="1">
        <f t="shared" si="448"/>
        <v>9.6362165696812099</v>
      </c>
    </row>
    <row r="694" spans="2:11" x14ac:dyDescent="0.35">
      <c r="B694" t="str">
        <f t="shared" si="435"/>
        <v>SPS1</v>
      </c>
      <c r="C694" t="str">
        <f t="shared" si="436"/>
        <v>CH</v>
      </c>
      <c r="D694" t="s">
        <v>399</v>
      </c>
      <c r="E694" s="5" t="s">
        <v>8</v>
      </c>
      <c r="F694" s="1" cm="1">
        <f t="array" ref="F694">SUMPRODUCT(("SUP_wodH2"=[1]OUT_SyntheticFuels!$C$4:$C$1000)*1,ISNUMBER(SEARCH("wod",[1]OUT_SyntheticFuels!$A$4:$A$1000))*1,("Var_Fin"=[1]OUT_SyntheticFuels!$B$4:$B$1000)*1,[1]OUT_SyntheticFuels!E$4:E$1000)</f>
        <v>0</v>
      </c>
      <c r="G694" s="1" cm="1">
        <f t="array" ref="G694">SUMPRODUCT(("SUP_wodH2"=[1]OUT_SyntheticFuels!$C$4:$C$1000)*1,ISNUMBER(SEARCH("wod",[1]OUT_SyntheticFuels!$A$4:$A$1000))*1,("Var_Fin"=[1]OUT_SyntheticFuels!$B$4:$B$1000)*1,[1]OUT_SyntheticFuels!F$4:F$1000)</f>
        <v>0</v>
      </c>
      <c r="H694" s="1" cm="1">
        <f t="array" ref="H694">SUMPRODUCT(("SUP_wodH2"=[1]OUT_SyntheticFuels!$C$4:$C$1000)*1,ISNUMBER(SEARCH("wod",[1]OUT_SyntheticFuels!$A$4:$A$1000))*1,("Var_Fin"=[1]OUT_SyntheticFuels!$B$4:$B$1000)*1,[1]OUT_SyntheticFuels!G$4:G$1000)</f>
        <v>0</v>
      </c>
      <c r="I694" s="1" cm="1">
        <f t="array" ref="I694">SUMPRODUCT(("SUP_wodH2"=[1]OUT_SyntheticFuels!$C$4:$C$1000)*1,ISNUMBER(SEARCH("wod",[1]OUT_SyntheticFuels!$A$4:$A$1000))*1,("Var_Fin"=[1]OUT_SyntheticFuels!$B$4:$B$1000)*1,[1]OUT_SyntheticFuels!H$4:H$1000)</f>
        <v>0</v>
      </c>
      <c r="J694" s="1" cm="1">
        <f t="array" ref="J694">SUMPRODUCT(("SUP_wodH2"=[1]OUT_SyntheticFuels!$C$4:$C$1000)*1,ISNUMBER(SEARCH("wod",[1]OUT_SyntheticFuels!$A$4:$A$1000))*1,("Var_Fin"=[1]OUT_SyntheticFuels!$B$4:$B$1000)*1,[1]OUT_SyntheticFuels!I$4:I$1000)</f>
        <v>0</v>
      </c>
      <c r="K694" s="1" cm="1">
        <f t="array" ref="K694">SUMPRODUCT(("SUP_wodH2"=[1]OUT_SyntheticFuels!$C$4:$C$1000)*1,ISNUMBER(SEARCH("wod",[1]OUT_SyntheticFuels!$A$4:$A$1000))*1,("Var_Fin"=[1]OUT_SyntheticFuels!$B$4:$B$1000)*1,[1]OUT_SyntheticFuels!J$4:J$1000)</f>
        <v>2.5798677255322455E-4</v>
      </c>
    </row>
    <row r="695" spans="2:11" x14ac:dyDescent="0.35">
      <c r="B695" t="str">
        <f t="shared" si="435"/>
        <v>SPS1</v>
      </c>
      <c r="C695" t="str">
        <f t="shared" si="436"/>
        <v>CH</v>
      </c>
      <c r="D695" t="s">
        <v>400</v>
      </c>
      <c r="E695" s="5" t="s">
        <v>8</v>
      </c>
      <c r="F695" s="1" cm="1">
        <f t="array" ref="F695">SUMPRODUCT(("SUP_wodH2ccs"=[1]OUT_SyntheticFuels!$C$4:$C$1000)*1,ISNUMBER(SEARCH("wod",[1]OUT_SyntheticFuels!$A$4:$A$1000))*1,("Var_Fin"=[1]OUT_SyntheticFuels!$B$4:$B$1000)*1,[1]OUT_SyntheticFuels!E$4:E$1000)</f>
        <v>0</v>
      </c>
      <c r="G695" s="1" cm="1">
        <f t="array" ref="G695">SUMPRODUCT(("SUP_wodH2ccs"=[1]OUT_SyntheticFuels!$C$4:$C$1000)*1,ISNUMBER(SEARCH("wod",[1]OUT_SyntheticFuels!$A$4:$A$1000))*1,("Var_Fin"=[1]OUT_SyntheticFuels!$B$4:$B$1000)*1,[1]OUT_SyntheticFuels!F$4:F$1000)</f>
        <v>0</v>
      </c>
      <c r="H695" s="1" cm="1">
        <f t="array" ref="H695">SUMPRODUCT(("SUP_wodH2ccs"=[1]OUT_SyntheticFuels!$C$4:$C$1000)*1,ISNUMBER(SEARCH("wod",[1]OUT_SyntheticFuels!$A$4:$A$1000))*1,("Var_Fin"=[1]OUT_SyntheticFuels!$B$4:$B$1000)*1,[1]OUT_SyntheticFuels!G$4:G$1000)</f>
        <v>0</v>
      </c>
      <c r="I695" s="1" cm="1">
        <f t="array" ref="I695">SUMPRODUCT(("SUP_wodH2ccs"=[1]OUT_SyntheticFuels!$C$4:$C$1000)*1,ISNUMBER(SEARCH("wod",[1]OUT_SyntheticFuels!$A$4:$A$1000))*1,("Var_Fin"=[1]OUT_SyntheticFuels!$B$4:$B$1000)*1,[1]OUT_SyntheticFuels!H$4:H$1000)</f>
        <v>0</v>
      </c>
      <c r="J695" s="1" cm="1">
        <f t="array" ref="J695">SUMPRODUCT(("SUP_wodH2ccs"=[1]OUT_SyntheticFuels!$C$4:$C$1000)*1,ISNUMBER(SEARCH("wod",[1]OUT_SyntheticFuels!$A$4:$A$1000))*1,("Var_Fin"=[1]OUT_SyntheticFuels!$B$4:$B$1000)*1,[1]OUT_SyntheticFuels!I$4:I$1000)</f>
        <v>0</v>
      </c>
      <c r="K695" s="1" cm="1">
        <f t="array" ref="K695">SUMPRODUCT(("SUP_wodH2ccs"=[1]OUT_SyntheticFuels!$C$4:$C$1000)*1,ISNUMBER(SEARCH("wod",[1]OUT_SyntheticFuels!$A$4:$A$1000))*1,("Var_Fin"=[1]OUT_SyntheticFuels!$B$4:$B$1000)*1,[1]OUT_SyntheticFuels!J$4:J$1000)</f>
        <v>9.6359585829086569</v>
      </c>
    </row>
    <row r="696" spans="2:11" x14ac:dyDescent="0.35">
      <c r="B696" s="9" t="s">
        <v>6</v>
      </c>
      <c r="C696" s="9" t="s">
        <v>7</v>
      </c>
      <c r="D696" s="2" t="s">
        <v>408</v>
      </c>
      <c r="E696" s="9" t="s">
        <v>240</v>
      </c>
      <c r="F696" s="4" t="s">
        <v>292</v>
      </c>
      <c r="G696" s="4" t="s">
        <v>292</v>
      </c>
      <c r="H696" s="4" t="s">
        <v>292</v>
      </c>
      <c r="I696" s="4" t="s">
        <v>292</v>
      </c>
      <c r="J696" s="4" t="s">
        <v>292</v>
      </c>
      <c r="K696" s="4" t="s">
        <v>292</v>
      </c>
    </row>
    <row r="697" spans="2:11" x14ac:dyDescent="0.35">
      <c r="B697" t="str">
        <f>B696</f>
        <v>SPS1</v>
      </c>
      <c r="C697" t="str">
        <f t="shared" ref="C697:C703" si="449">C696</f>
        <v>CH</v>
      </c>
      <c r="D697" t="s">
        <v>409</v>
      </c>
      <c r="E697" s="5" t="s">
        <v>240</v>
      </c>
      <c r="F697" s="4">
        <f>IFERROR(F662/F679,"-")</f>
        <v>0.68500000000000005</v>
      </c>
      <c r="G697" s="4">
        <f t="shared" ref="G697:K697" si="450">IFERROR(G662/G679,"-")</f>
        <v>0.69400000000000017</v>
      </c>
      <c r="H697" s="4">
        <f t="shared" si="450"/>
        <v>0.70749999999999991</v>
      </c>
      <c r="I697" s="4">
        <f t="shared" si="450"/>
        <v>0.7300000000000002</v>
      </c>
      <c r="J697" s="4">
        <f t="shared" si="450"/>
        <v>0.7749999999999998</v>
      </c>
      <c r="K697" s="4">
        <f t="shared" si="450"/>
        <v>0.82</v>
      </c>
    </row>
    <row r="698" spans="2:11" x14ac:dyDescent="0.35">
      <c r="B698" t="str">
        <f t="shared" ref="B698:B703" si="451">B697</f>
        <v>SPS1</v>
      </c>
      <c r="C698" t="str">
        <f t="shared" si="449"/>
        <v>CH</v>
      </c>
      <c r="D698" t="s">
        <v>410</v>
      </c>
      <c r="E698" s="5" t="s">
        <v>240</v>
      </c>
      <c r="F698" s="4" t="str">
        <f>IFERROR(F663/F680,"-")</f>
        <v>-</v>
      </c>
      <c r="G698" s="4" t="str">
        <f t="shared" ref="G698:K698" si="452">IFERROR(G663/G680,"-")</f>
        <v>-</v>
      </c>
      <c r="H698" s="4" t="str">
        <f t="shared" si="452"/>
        <v>-</v>
      </c>
      <c r="I698" s="4">
        <f t="shared" si="452"/>
        <v>0.72999999999999976</v>
      </c>
      <c r="J698" s="4">
        <f t="shared" si="452"/>
        <v>0.77500000000000013</v>
      </c>
      <c r="K698" s="4">
        <f t="shared" si="452"/>
        <v>0.82000000000000062</v>
      </c>
    </row>
    <row r="699" spans="2:11" x14ac:dyDescent="0.35">
      <c r="B699" t="str">
        <f t="shared" si="451"/>
        <v>SPS1</v>
      </c>
      <c r="C699" t="str">
        <f t="shared" si="449"/>
        <v>CH</v>
      </c>
      <c r="D699" t="s">
        <v>411</v>
      </c>
      <c r="E699" s="5" t="s">
        <v>240</v>
      </c>
      <c r="F699" s="4" t="str">
        <f>IFERROR(F664/SUM(F681,F683),"-")</f>
        <v>-</v>
      </c>
      <c r="G699" s="4" t="str">
        <f t="shared" ref="G699:K699" si="453">IFERROR(G664/SUM(G681,G683),"-")</f>
        <v>-</v>
      </c>
      <c r="H699" s="4" t="str">
        <f t="shared" si="453"/>
        <v>-</v>
      </c>
      <c r="I699" s="4" t="str">
        <f t="shared" si="453"/>
        <v>-</v>
      </c>
      <c r="J699" s="4">
        <f t="shared" si="453"/>
        <v>0.87000000000000011</v>
      </c>
      <c r="K699" s="4">
        <f t="shared" si="453"/>
        <v>0.90000000000000013</v>
      </c>
    </row>
    <row r="700" spans="2:11" x14ac:dyDescent="0.35">
      <c r="B700" t="str">
        <f t="shared" si="451"/>
        <v>SPS1</v>
      </c>
      <c r="C700" t="str">
        <f t="shared" si="449"/>
        <v>CH</v>
      </c>
      <c r="D700" t="s">
        <v>412</v>
      </c>
      <c r="E700" s="5" t="s">
        <v>240</v>
      </c>
      <c r="F700" s="4" t="str">
        <f>IFERROR(F666/F685,"-")</f>
        <v>-</v>
      </c>
      <c r="G700" s="4" t="str">
        <f t="shared" ref="G700:K701" si="454">IFERROR(G666/G685,"-")</f>
        <v>-</v>
      </c>
      <c r="H700" s="4" t="str">
        <f t="shared" si="454"/>
        <v>-</v>
      </c>
      <c r="I700" s="4" t="str">
        <f t="shared" si="454"/>
        <v>-</v>
      </c>
      <c r="J700" s="4" t="str">
        <f t="shared" si="454"/>
        <v>-</v>
      </c>
      <c r="K700" s="4">
        <f t="shared" si="454"/>
        <v>0.75999999999998924</v>
      </c>
    </row>
    <row r="701" spans="2:11" x14ac:dyDescent="0.35">
      <c r="B701" t="str">
        <f t="shared" si="451"/>
        <v>SPS1</v>
      </c>
      <c r="C701" t="str">
        <f t="shared" si="449"/>
        <v>CH</v>
      </c>
      <c r="D701" t="s">
        <v>413</v>
      </c>
      <c r="E701" s="5" t="s">
        <v>240</v>
      </c>
      <c r="F701" s="4" t="str">
        <f>IFERROR(F667/F686,"-")</f>
        <v>-</v>
      </c>
      <c r="G701" s="4" t="str">
        <f t="shared" si="454"/>
        <v>-</v>
      </c>
      <c r="H701" s="4" t="str">
        <f t="shared" si="454"/>
        <v>-</v>
      </c>
      <c r="I701" s="4" t="str">
        <f t="shared" si="454"/>
        <v>-</v>
      </c>
      <c r="J701" s="4" t="str">
        <f t="shared" si="454"/>
        <v>-</v>
      </c>
      <c r="K701" s="4">
        <f t="shared" si="454"/>
        <v>0.69000000000000017</v>
      </c>
    </row>
    <row r="702" spans="2:11" x14ac:dyDescent="0.35">
      <c r="B702" t="str">
        <f>B701</f>
        <v>SPS1</v>
      </c>
      <c r="C702" t="str">
        <f>C701</f>
        <v>CH</v>
      </c>
      <c r="D702" t="s">
        <v>414</v>
      </c>
      <c r="E702" s="5" t="s">
        <v>240</v>
      </c>
      <c r="F702" s="4" t="str">
        <f>IFERROR(F675/F694,"-")</f>
        <v>-</v>
      </c>
      <c r="G702" s="4" t="str">
        <f t="shared" ref="G702:K703" si="455">IFERROR(G675/G694,"-")</f>
        <v>-</v>
      </c>
      <c r="H702" s="4" t="str">
        <f t="shared" si="455"/>
        <v>-</v>
      </c>
      <c r="I702" s="4" t="str">
        <f t="shared" si="455"/>
        <v>-</v>
      </c>
      <c r="J702" s="4" t="str">
        <f t="shared" si="455"/>
        <v>-</v>
      </c>
      <c r="K702" s="4">
        <f t="shared" si="455"/>
        <v>0.60000000000143616</v>
      </c>
    </row>
    <row r="703" spans="2:11" x14ac:dyDescent="0.35">
      <c r="B703" t="str">
        <f t="shared" si="451"/>
        <v>SPS1</v>
      </c>
      <c r="C703" t="str">
        <f t="shared" si="449"/>
        <v>CH</v>
      </c>
      <c r="D703" t="s">
        <v>415</v>
      </c>
      <c r="E703" s="5" t="s">
        <v>240</v>
      </c>
      <c r="F703" s="4" t="str">
        <f>IFERROR(F676/F695,"-")</f>
        <v>-</v>
      </c>
      <c r="G703" s="4" t="str">
        <f t="shared" si="455"/>
        <v>-</v>
      </c>
      <c r="H703" s="4" t="str">
        <f t="shared" si="455"/>
        <v>-</v>
      </c>
      <c r="I703" s="4" t="str">
        <f t="shared" si="455"/>
        <v>-</v>
      </c>
      <c r="J703" s="4" t="str">
        <f t="shared" si="455"/>
        <v>-</v>
      </c>
      <c r="K703" s="4">
        <f t="shared" si="455"/>
        <v>0.57999999999999929</v>
      </c>
    </row>
    <row r="704" spans="2:11" x14ac:dyDescent="0.35">
      <c r="B704" s="9" t="s">
        <v>6</v>
      </c>
      <c r="C704" s="9" t="s">
        <v>7</v>
      </c>
      <c r="D704" s="2" t="s">
        <v>424</v>
      </c>
      <c r="E704" s="9" t="s">
        <v>8</v>
      </c>
      <c r="F704" s="1">
        <f>[1]Other_transformation!B$39</f>
        <v>1.1764762315340063</v>
      </c>
      <c r="G704" s="1">
        <f>[1]Other_transformation!C$39</f>
        <v>3.6433590092894077</v>
      </c>
      <c r="H704" s="1">
        <f>[1]Other_transformation!D$39</f>
        <v>2.8153524492015696</v>
      </c>
      <c r="I704" s="1">
        <f>[1]Other_transformation!E$39</f>
        <v>2.8152132737782103</v>
      </c>
      <c r="J704" s="1">
        <f>[1]Other_transformation!F$39</f>
        <v>2.8156485167439351</v>
      </c>
      <c r="K704" s="1">
        <f>[1]Other_transformation!G$39</f>
        <v>3.1786215740483459</v>
      </c>
    </row>
    <row r="705" spans="2:11" x14ac:dyDescent="0.35">
      <c r="B705" s="9" t="s">
        <v>6</v>
      </c>
      <c r="C705" s="9" t="s">
        <v>7</v>
      </c>
      <c r="D705" s="2" t="s">
        <v>425</v>
      </c>
      <c r="E705" s="9" t="s">
        <v>8</v>
      </c>
      <c r="F705" s="1">
        <f>[1]Other_transformation!B$38</f>
        <v>1.2890763427304988</v>
      </c>
      <c r="G705" s="1">
        <f>[1]Other_transformation!C$38</f>
        <v>3.9920635717605202</v>
      </c>
      <c r="H705" s="1">
        <f>[1]Other_transformation!D$38</f>
        <v>3.0848088056840735</v>
      </c>
      <c r="I705" s="1">
        <f>[1]Other_transformation!E$38</f>
        <v>3.0846563098316877</v>
      </c>
      <c r="J705" s="1">
        <f>[1]Other_transformation!F$38</f>
        <v>3.0851332097429731</v>
      </c>
      <c r="K705" s="1">
        <f>[1]Other_transformation!G$38</f>
        <v>3.4828462860280633</v>
      </c>
    </row>
    <row r="706" spans="2:11" x14ac:dyDescent="0.35">
      <c r="B706" s="9" t="s">
        <v>6</v>
      </c>
      <c r="C706" s="9" t="s">
        <v>7</v>
      </c>
      <c r="D706" s="2" t="s">
        <v>426</v>
      </c>
      <c r="E706" s="9" t="s">
        <v>8</v>
      </c>
      <c r="F706" s="14">
        <f t="shared" ref="F706:K706" si="456">F704/F705</f>
        <v>0.91265054871925977</v>
      </c>
      <c r="G706" s="14">
        <f t="shared" si="456"/>
        <v>0.91265054871925999</v>
      </c>
      <c r="H706" s="14">
        <f t="shared" si="456"/>
        <v>0.91265054871925833</v>
      </c>
      <c r="I706" s="14">
        <f t="shared" si="456"/>
        <v>0.91265054871925766</v>
      </c>
      <c r="J706" s="14">
        <f t="shared" si="456"/>
        <v>0.91265054871925966</v>
      </c>
      <c r="K706" s="14">
        <f t="shared" si="456"/>
        <v>0.91265054871925921</v>
      </c>
    </row>
    <row r="707" spans="2:11" x14ac:dyDescent="0.35">
      <c r="B707" s="9" t="s">
        <v>6</v>
      </c>
      <c r="C707" s="9" t="s">
        <v>6</v>
      </c>
      <c r="D707" s="2" t="s">
        <v>474</v>
      </c>
      <c r="E707" s="9" t="s">
        <v>8</v>
      </c>
      <c r="F707" s="17" cm="1">
        <f t="array" ref="F707">SUMPRODUCT(("CT_CWODPLT"=[1]OUT_SyntheticFuels!$C$4:$C$1000)*1,("Var_Fout"=[1]OUT_SyntheticFuels!$B$4:$B$1000)*1,[1]OUT_SyntheticFuels!E$4:E$1000)</f>
        <v>5.97967768507658</v>
      </c>
      <c r="G707" s="17" cm="1">
        <f t="array" ref="G707">SUMPRODUCT(("CT_CWODPLT"=[1]OUT_SyntheticFuels!$C$4:$C$1000)*1,("Var_Fout"=[1]OUT_SyntheticFuels!$B$4:$B$1000)*1,[1]OUT_SyntheticFuels!F$4:F$1000)</f>
        <v>6.9696721974921747</v>
      </c>
      <c r="H707" s="17" cm="1">
        <f t="array" ref="H707">SUMPRODUCT(("CT_CWODPLT"=[1]OUT_SyntheticFuels!$C$4:$C$1000)*1,("Var_Fout"=[1]OUT_SyntheticFuels!$B$4:$B$1000)*1,[1]OUT_SyntheticFuels!G$4:G$1000)</f>
        <v>5.8450337154074363</v>
      </c>
      <c r="I707" s="17" cm="1">
        <f t="array" ref="I707">SUMPRODUCT(("CT_CWODPLT"=[1]OUT_SyntheticFuels!$C$4:$C$1000)*1,("Var_Fout"=[1]OUT_SyntheticFuels!$B$4:$B$1000)*1,[1]OUT_SyntheticFuels!H$4:H$1000)</f>
        <v>6.5147704457003224</v>
      </c>
      <c r="J707" s="17" cm="1">
        <f t="array" ref="J707">SUMPRODUCT(("CT_CWODPLT"=[1]OUT_SyntheticFuels!$C$4:$C$1000)*1,("Var_Fout"=[1]OUT_SyntheticFuels!$B$4:$B$1000)*1,[1]OUT_SyntheticFuels!I$4:I$1000)</f>
        <v>6.9020322085003114</v>
      </c>
      <c r="K707" s="17" cm="1">
        <f t="array" ref="K707">SUMPRODUCT(("CT_CWODPLT"=[1]OUT_SyntheticFuels!$C$4:$C$1000)*1,("Var_Fout"=[1]OUT_SyntheticFuels!$B$4:$B$1000)*1,[1]OUT_SyntheticFuels!J$4:J$1000)</f>
        <v>6.4560953608746781</v>
      </c>
    </row>
    <row r="708" spans="2:11" x14ac:dyDescent="0.35">
      <c r="B708" s="5" t="str">
        <f>B707</f>
        <v>SPS1</v>
      </c>
      <c r="C708" s="5" t="str">
        <f>C707</f>
        <v>SPS1</v>
      </c>
      <c r="D708" t="s">
        <v>491</v>
      </c>
      <c r="E708" s="5" t="s">
        <v>8</v>
      </c>
      <c r="F708" s="18">
        <f>F707</f>
        <v>5.97967768507658</v>
      </c>
      <c r="G708" s="18">
        <f t="shared" ref="G708:K708" si="457">G707</f>
        <v>6.9696721974921747</v>
      </c>
      <c r="H708" s="18">
        <f t="shared" si="457"/>
        <v>5.8450337154074363</v>
      </c>
      <c r="I708" s="18">
        <f t="shared" si="457"/>
        <v>6.5147704457003224</v>
      </c>
      <c r="J708" s="18">
        <f t="shared" si="457"/>
        <v>6.9020322085003114</v>
      </c>
      <c r="K708" s="18">
        <f t="shared" si="457"/>
        <v>6.4560953608746781</v>
      </c>
    </row>
    <row r="709" spans="2:11" x14ac:dyDescent="0.35">
      <c r="B709" s="9" t="s">
        <v>6</v>
      </c>
      <c r="C709" s="9" t="s">
        <v>6</v>
      </c>
      <c r="D709" s="2" t="s">
        <v>475</v>
      </c>
      <c r="E709" s="9" t="s">
        <v>8</v>
      </c>
      <c r="F709" s="17" cm="1">
        <f t="array" ref="F709">SUMPRODUCT(("CT_CWODPLT"=[1]OUT_SyntheticFuels!$C$4:$C$1000)*1,("Var_Fin"=[1]OUT_SyntheticFuels!$B$4:$B$1000)*1,[1]OUT_SyntheticFuels!E$4:E$1000)</f>
        <v>7.1186639108054486</v>
      </c>
      <c r="G709" s="17" cm="1">
        <f t="array" ref="G709">SUMPRODUCT(("CT_CWODPLT"=[1]OUT_SyntheticFuels!$C$4:$C$1000)*1,("Var_Fin"=[1]OUT_SyntheticFuels!$B$4:$B$1000)*1,[1]OUT_SyntheticFuels!F$4:F$1000)</f>
        <v>8.297228806538298</v>
      </c>
      <c r="H709" s="17" cm="1">
        <f t="array" ref="H709">SUMPRODUCT(("CT_CWODPLT"=[1]OUT_SyntheticFuels!$C$4:$C$1000)*1,("Var_Fin"=[1]OUT_SyntheticFuels!$B$4:$B$1000)*1,[1]OUT_SyntheticFuels!G$4:G$1000)</f>
        <v>6.9583734707231431</v>
      </c>
      <c r="I709" s="17" cm="1">
        <f t="array" ref="I709">SUMPRODUCT(("CT_CWODPLT"=[1]OUT_SyntheticFuels!$C$4:$C$1000)*1,("Var_Fin"=[1]OUT_SyntheticFuels!$B$4:$B$1000)*1,[1]OUT_SyntheticFuels!H$4:H$1000)</f>
        <v>7.7556791020241942</v>
      </c>
      <c r="J709" s="17" cm="1">
        <f t="array" ref="J709">SUMPRODUCT(("CT_CWODPLT"=[1]OUT_SyntheticFuels!$C$4:$C$1000)*1,("Var_Fin"=[1]OUT_SyntheticFuels!$B$4:$B$1000)*1,[1]OUT_SyntheticFuels!I$4:I$1000)</f>
        <v>8.2167050101194192</v>
      </c>
      <c r="K709" s="17" cm="1">
        <f t="array" ref="K709">SUMPRODUCT(("CT_CWODPLT"=[1]OUT_SyntheticFuels!$C$4:$C$1000)*1,("Var_Fin"=[1]OUT_SyntheticFuels!$B$4:$B$1000)*1,[1]OUT_SyntheticFuels!J$4:J$1000)</f>
        <v>7.6858278105650886</v>
      </c>
    </row>
    <row r="710" spans="2:11" x14ac:dyDescent="0.35">
      <c r="B710" s="5" t="str">
        <f>B709</f>
        <v>SPS1</v>
      </c>
      <c r="C710" s="5" t="str">
        <f>C709</f>
        <v>SPS1</v>
      </c>
      <c r="D710" s="5" t="s">
        <v>490</v>
      </c>
      <c r="E710" s="5" t="str">
        <f>E709</f>
        <v>PJ/yr.</v>
      </c>
      <c r="F710" s="18">
        <f t="shared" ref="F710:K710" si="458">F709</f>
        <v>7.1186639108054486</v>
      </c>
      <c r="G710" s="18">
        <f t="shared" si="458"/>
        <v>8.297228806538298</v>
      </c>
      <c r="H710" s="18">
        <f t="shared" si="458"/>
        <v>6.9583734707231431</v>
      </c>
      <c r="I710" s="18">
        <f t="shared" si="458"/>
        <v>7.7556791020241942</v>
      </c>
      <c r="J710" s="18">
        <f t="shared" si="458"/>
        <v>8.2167050101194192</v>
      </c>
      <c r="K710" s="18">
        <f t="shared" si="458"/>
        <v>7.6858278105650886</v>
      </c>
    </row>
    <row r="711" spans="2:11" x14ac:dyDescent="0.35">
      <c r="B711" s="9" t="s">
        <v>6</v>
      </c>
      <c r="C711" s="9" t="s">
        <v>6</v>
      </c>
      <c r="D711" s="2" t="s">
        <v>476</v>
      </c>
      <c r="E711" s="9" t="s">
        <v>240</v>
      </c>
      <c r="F711" s="14">
        <f t="shared" ref="F711:K711" si="459">IFERROR(F707/F709,"-")</f>
        <v>0.84000000000000041</v>
      </c>
      <c r="G711" s="14">
        <f t="shared" si="459"/>
        <v>0.84000000000000052</v>
      </c>
      <c r="H711" s="14">
        <f t="shared" si="459"/>
        <v>0.83999999999999941</v>
      </c>
      <c r="I711" s="14">
        <f t="shared" si="459"/>
        <v>0.83999999999999986</v>
      </c>
      <c r="J711" s="14">
        <f t="shared" si="459"/>
        <v>0.83999999999999986</v>
      </c>
      <c r="K711" s="14">
        <f t="shared" si="459"/>
        <v>0.84000000000000052</v>
      </c>
    </row>
    <row r="712" spans="2:11" x14ac:dyDescent="0.35">
      <c r="B712" s="9" t="str">
        <f>B706</f>
        <v>SPS1</v>
      </c>
      <c r="C712" s="9" t="str">
        <f>C706</f>
        <v>CH</v>
      </c>
      <c r="D712" s="2" t="s">
        <v>431</v>
      </c>
      <c r="E712" s="9" t="s">
        <v>8</v>
      </c>
      <c r="F712" s="17">
        <f>F713+F715</f>
        <v>0</v>
      </c>
      <c r="G712" s="17">
        <f t="shared" ref="G712:K712" si="460">G713+G715</f>
        <v>0</v>
      </c>
      <c r="H712" s="17">
        <f t="shared" si="460"/>
        <v>0</v>
      </c>
      <c r="I712" s="17">
        <f t="shared" si="460"/>
        <v>0</v>
      </c>
      <c r="J712" s="17">
        <f t="shared" si="460"/>
        <v>0.75986152003992924</v>
      </c>
      <c r="K712" s="17">
        <f t="shared" si="460"/>
        <v>0.19472278681829203</v>
      </c>
    </row>
    <row r="713" spans="2:11" x14ac:dyDescent="0.35">
      <c r="B713" s="5" t="str">
        <f>B706</f>
        <v>SPS1</v>
      </c>
      <c r="C713" s="5" t="str">
        <f>C706</f>
        <v>CH</v>
      </c>
      <c r="D713" t="s">
        <v>927</v>
      </c>
      <c r="E713" s="5" t="s">
        <v>8</v>
      </c>
      <c r="F713" s="18">
        <f>F714</f>
        <v>0</v>
      </c>
      <c r="G713" s="18">
        <f t="shared" ref="G713:K713" si="461">G714</f>
        <v>0</v>
      </c>
      <c r="H713" s="18">
        <f t="shared" si="461"/>
        <v>0</v>
      </c>
      <c r="I713" s="18">
        <f t="shared" si="461"/>
        <v>0</v>
      </c>
      <c r="J713" s="18">
        <f t="shared" si="461"/>
        <v>2.487581497042411E-4</v>
      </c>
      <c r="K713" s="18">
        <f t="shared" si="461"/>
        <v>1.4626712752729019E-4</v>
      </c>
    </row>
    <row r="714" spans="2:11" x14ac:dyDescent="0.35">
      <c r="B714" s="5" t="str">
        <f t="shared" ref="B714:C716" si="462">B712</f>
        <v>SPS1</v>
      </c>
      <c r="C714" s="5" t="str">
        <f t="shared" si="462"/>
        <v>CH</v>
      </c>
      <c r="D714" t="s">
        <v>427</v>
      </c>
      <c r="E714" s="5" t="s">
        <v>8</v>
      </c>
      <c r="F714" s="18" cm="1">
        <f t="array" ref="F714">SUMPRODUCT(("SUP_H2NGA"=[1]OUT_SyntheticFuels!$C$4:$C$1000)*1,("NGA"=[1]OUT_SyntheticFuels!$A$4:$A$1000)*1,("Var_Fout"=[1]OUT_SyntheticFuels!$B$4:$B$1000)*1,[1]OUT_SyntheticFuels!E$4:E$1000)</f>
        <v>0</v>
      </c>
      <c r="G714" s="18" cm="1">
        <f t="array" ref="G714">SUMPRODUCT(("SUP_H2NGA"=[1]OUT_SyntheticFuels!$C$4:$C$1000)*1,("NGA"=[1]OUT_SyntheticFuels!$A$4:$A$1000)*1,("Var_Fout"=[1]OUT_SyntheticFuels!$B$4:$B$1000)*1,[1]OUT_SyntheticFuels!F$4:F$1000)</f>
        <v>0</v>
      </c>
      <c r="H714" s="18" cm="1">
        <f t="array" ref="H714">SUMPRODUCT(("SUP_H2NGA"=[1]OUT_SyntheticFuels!$C$4:$C$1000)*1,("NGA"=[1]OUT_SyntheticFuels!$A$4:$A$1000)*1,("Var_Fout"=[1]OUT_SyntheticFuels!$B$4:$B$1000)*1,[1]OUT_SyntheticFuels!G$4:G$1000)</f>
        <v>0</v>
      </c>
      <c r="I714" s="18" cm="1">
        <f t="array" ref="I714">SUMPRODUCT(("SUP_H2NGA"=[1]OUT_SyntheticFuels!$C$4:$C$1000)*1,("NGA"=[1]OUT_SyntheticFuels!$A$4:$A$1000)*1,("Var_Fout"=[1]OUT_SyntheticFuels!$B$4:$B$1000)*1,[1]OUT_SyntheticFuels!H$4:H$1000)</f>
        <v>0</v>
      </c>
      <c r="J714" s="18" cm="1">
        <f t="array" ref="J714">SUMPRODUCT(("SUP_H2NGA"=[1]OUT_SyntheticFuels!$C$4:$C$1000)*1,("NGA"=[1]OUT_SyntheticFuels!$A$4:$A$1000)*1,("Var_Fout"=[1]OUT_SyntheticFuels!$B$4:$B$1000)*1,[1]OUT_SyntheticFuels!I$4:I$1000)</f>
        <v>2.487581497042411E-4</v>
      </c>
      <c r="K714" s="18" cm="1">
        <f t="array" ref="K714">SUMPRODUCT(("SUP_H2NGA"=[1]OUT_SyntheticFuels!$C$4:$C$1000)*1,("NGA"=[1]OUT_SyntheticFuels!$A$4:$A$1000)*1,("Var_Fout"=[1]OUT_SyntheticFuels!$B$4:$B$1000)*1,[1]OUT_SyntheticFuels!J$4:J$1000)</f>
        <v>1.4626712752729019E-4</v>
      </c>
    </row>
    <row r="715" spans="2:11" x14ac:dyDescent="0.35">
      <c r="B715" s="5" t="str">
        <f t="shared" si="462"/>
        <v>SPS1</v>
      </c>
      <c r="C715" s="5" t="str">
        <f t="shared" si="462"/>
        <v>CH</v>
      </c>
      <c r="D715" t="s">
        <v>928</v>
      </c>
      <c r="E715" s="5" t="s">
        <v>8</v>
      </c>
      <c r="F715" s="18">
        <f>SUM(F716:F718)</f>
        <v>0</v>
      </c>
      <c r="G715" s="18">
        <f t="shared" ref="G715:K715" si="463">SUM(G716:G718)</f>
        <v>0</v>
      </c>
      <c r="H715" s="18">
        <f t="shared" si="463"/>
        <v>0</v>
      </c>
      <c r="I715" s="18">
        <f t="shared" si="463"/>
        <v>0</v>
      </c>
      <c r="J715" s="18">
        <f t="shared" si="463"/>
        <v>0.75961276189022497</v>
      </c>
      <c r="K715" s="18">
        <f t="shared" si="463"/>
        <v>0.19457651969076473</v>
      </c>
    </row>
    <row r="716" spans="2:11" x14ac:dyDescent="0.35">
      <c r="B716" s="5" t="str">
        <f t="shared" si="462"/>
        <v>SPS1</v>
      </c>
      <c r="C716" s="5" t="str">
        <f t="shared" si="462"/>
        <v>CH</v>
      </c>
      <c r="D716" t="s">
        <v>428</v>
      </c>
      <c r="E716" s="5" t="s">
        <v>8</v>
      </c>
      <c r="F716" s="18" cm="1">
        <f t="array" ref="F716">SUMPRODUCT(("SUP_H2DSL"=[1]OUT_SyntheticFuels!$C$4:$C$1000)*1,("DSL"=[1]OUT_SyntheticFuels!$A$4:$A$1000)*1,("Var_Fout"=[1]OUT_SyntheticFuels!$B$4:$B$1000)*1,[1]OUT_SyntheticFuels!E$4:E$1000)</f>
        <v>0</v>
      </c>
      <c r="G716" s="18" cm="1">
        <f t="array" ref="G716">SUMPRODUCT(("SUP_H2DSL"=[1]OUT_SyntheticFuels!$C$4:$C$1000)*1,("DSL"=[1]OUT_SyntheticFuels!$A$4:$A$1000)*1,("Var_Fout"=[1]OUT_SyntheticFuels!$B$4:$B$1000)*1,[1]OUT_SyntheticFuels!F$4:F$1000)</f>
        <v>0</v>
      </c>
      <c r="H716" s="18" cm="1">
        <f t="array" ref="H716">SUMPRODUCT(("SUP_H2DSL"=[1]OUT_SyntheticFuels!$C$4:$C$1000)*1,("DSL"=[1]OUT_SyntheticFuels!$A$4:$A$1000)*1,("Var_Fout"=[1]OUT_SyntheticFuels!$B$4:$B$1000)*1,[1]OUT_SyntheticFuels!G$4:G$1000)</f>
        <v>0</v>
      </c>
      <c r="I716" s="18" cm="1">
        <f t="array" ref="I716">SUMPRODUCT(("SUP_H2DSL"=[1]OUT_SyntheticFuels!$C$4:$C$1000)*1,("DSL"=[1]OUT_SyntheticFuels!$A$4:$A$1000)*1,("Var_Fout"=[1]OUT_SyntheticFuels!$B$4:$B$1000)*1,[1]OUT_SyntheticFuels!H$4:H$1000)</f>
        <v>0</v>
      </c>
      <c r="J716" s="18" cm="1">
        <f t="array" ref="J716">SUMPRODUCT(("SUP_H2DSL"=[1]OUT_SyntheticFuels!$C$4:$C$1000)*1,("DSL"=[1]OUT_SyntheticFuels!$A$4:$A$1000)*1,("Var_Fout"=[1]OUT_SyntheticFuels!$B$4:$B$1000)*1,[1]OUT_SyntheticFuels!I$4:I$1000)</f>
        <v>0.60614917927701251</v>
      </c>
      <c r="K716" s="18" cm="1">
        <f t="array" ref="K716">SUMPRODUCT(("SUP_H2DSL"=[1]OUT_SyntheticFuels!$C$4:$C$1000)*1,("DSL"=[1]OUT_SyntheticFuels!$A$4:$A$1000)*1,("Var_Fout"=[1]OUT_SyntheticFuels!$B$4:$B$1000)*1,[1]OUT_SyntheticFuels!J$4:J$1000)</f>
        <v>3.2694693154076068E-2</v>
      </c>
    </row>
    <row r="717" spans="2:11" x14ac:dyDescent="0.35">
      <c r="B717" s="5" t="str">
        <f t="shared" ref="B717:C719" si="464">B716</f>
        <v>SPS1</v>
      </c>
      <c r="C717" s="5" t="str">
        <f t="shared" si="464"/>
        <v>CH</v>
      </c>
      <c r="D717" t="s">
        <v>429</v>
      </c>
      <c r="E717" s="5" t="s">
        <v>8</v>
      </c>
      <c r="F717" s="18" cm="1">
        <f t="array" ref="F717">SUMPRODUCT(("SUP_H2gsl"=[1]OUT_SyntheticFuels!$C$4:$C$1000)*1,("gsl"=[1]OUT_SyntheticFuels!$A$4:$A$1000)*1,("Var_Fout"=[1]OUT_SyntheticFuels!$B$4:$B$1000)*1,[1]OUT_SyntheticFuels!E$4:E$1000)</f>
        <v>0</v>
      </c>
      <c r="G717" s="18" cm="1">
        <f t="array" ref="G717">SUMPRODUCT(("SUP_H2gsl"=[1]OUT_SyntheticFuels!$C$4:$C$1000)*1,("gsl"=[1]OUT_SyntheticFuels!$A$4:$A$1000)*1,("Var_Fout"=[1]OUT_SyntheticFuels!$B$4:$B$1000)*1,[1]OUT_SyntheticFuels!F$4:F$1000)</f>
        <v>0</v>
      </c>
      <c r="H717" s="18" cm="1">
        <f t="array" ref="H717">SUMPRODUCT(("SUP_H2gsl"=[1]OUT_SyntheticFuels!$C$4:$C$1000)*1,("gsl"=[1]OUT_SyntheticFuels!$A$4:$A$1000)*1,("Var_Fout"=[1]OUT_SyntheticFuels!$B$4:$B$1000)*1,[1]OUT_SyntheticFuels!G$4:G$1000)</f>
        <v>0</v>
      </c>
      <c r="I717" s="18" cm="1">
        <f t="array" ref="I717">SUMPRODUCT(("SUP_H2gsl"=[1]OUT_SyntheticFuels!$C$4:$C$1000)*1,("gsl"=[1]OUT_SyntheticFuels!$A$4:$A$1000)*1,("Var_Fout"=[1]OUT_SyntheticFuels!$B$4:$B$1000)*1,[1]OUT_SyntheticFuels!H$4:H$1000)</f>
        <v>0</v>
      </c>
      <c r="J717" s="18" cm="1">
        <f t="array" ref="J717">SUMPRODUCT(("SUP_H2gsl"=[1]OUT_SyntheticFuels!$C$4:$C$1000)*1,("gsl"=[1]OUT_SyntheticFuels!$A$4:$A$1000)*1,("Var_Fout"=[1]OUT_SyntheticFuels!$B$4:$B$1000)*1,[1]OUT_SyntheticFuels!I$4:I$1000)</f>
        <v>7.7546069614359517E-2</v>
      </c>
      <c r="K717" s="18" cm="1">
        <f t="array" ref="K717">SUMPRODUCT(("SUP_H2gsl"=[1]OUT_SyntheticFuels!$C$4:$C$1000)*1,("gsl"=[1]OUT_SyntheticFuels!$A$4:$A$1000)*1,("Var_Fout"=[1]OUT_SyntheticFuels!$B$4:$B$1000)*1,[1]OUT_SyntheticFuels!J$4:J$1000)</f>
        <v>0.16188182653668864</v>
      </c>
    </row>
    <row r="718" spans="2:11" x14ac:dyDescent="0.35">
      <c r="B718" s="5" t="str">
        <f t="shared" si="464"/>
        <v>SPS1</v>
      </c>
      <c r="C718" s="5" t="str">
        <f t="shared" si="464"/>
        <v>CH</v>
      </c>
      <c r="D718" t="s">
        <v>430</v>
      </c>
      <c r="E718" s="5" t="s">
        <v>8</v>
      </c>
      <c r="F718" s="18" cm="1">
        <f t="array" ref="F718">SUMPRODUCT(("SUP_H2DSL"=[1]OUT_SyntheticFuels!$C$4:$C$1000)*1,("KER"=[1]OUT_SyntheticFuels!$A$4:$A$1000)*1,("Var_Fout"=[1]OUT_SyntheticFuels!$B$4:$B$1000)*1,[1]OUT_SyntheticFuels!E$4:E$1000)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SUMPRODUCT(("SUP_H2DSL"=[1]OUT_SyntheticFuels!$C$4:$C$1000)*1,("KER"=[1]OUT_SyntheticFuels!$A$4:$A$1000)*1,("Var_Fout"=[1]OUT_SyntheticFuels!$B$4:$B$1000)*1,[1]OUT_SyntheticFuels!F$4:F$1000)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SUMPRODUCT(("SUP_H2DSL"=[1]OUT_SyntheticFuels!$C$4:$C$1000)*1,("KER"=[1]OUT_SyntheticFuels!$A$4:$A$1000)*1,("Var_Fout"=[1]OUT_SyntheticFuels!$B$4:$B$1000)*1,[1]OUT_SyntheticFuels!G$4:G$1000)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SUMPRODUCT(("SUP_H2DSL"=[1]OUT_SyntheticFuels!$C$4:$C$1000)*1,("KER"=[1]OUT_SyntheticFuels!$A$4:$A$1000)*1,("Var_Fout"=[1]OUT_SyntheticFuels!$B$4:$B$1000)*1,[1]OUT_SyntheticFuels!H$4:H$1000)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SUMPRODUCT(("SUP_H2DSL"=[1]OUT_SyntheticFuels!$C$4:$C$1000)*1,("KER"=[1]OUT_SyntheticFuels!$A$4:$A$1000)*1,("Var_Fout"=[1]OUT_SyntheticFuels!$B$4:$B$1000)*1,[1]OUT_SyntheticFuels!I$4:I$1000)</f>
        <v>7.5917512998852965E-2</v>
      </c>
      <c r="K718" s="18" cm="1">
        <f t="array" ref="K718">SUMPRODUCT(("SUP_H2DSL"=[1]OUT_SyntheticFuels!$C$4:$C$1000)*1,("KER"=[1]OUT_SyntheticFuels!$A$4:$A$1000)*1,("Var_Fout"=[1]OUT_SyntheticFuels!$B$4:$B$1000)*1,[1]OUT_SyntheticFuels!J$4:J$1000)</f>
        <v>0</v>
      </c>
    </row>
    <row r="719" spans="2:11" x14ac:dyDescent="0.35">
      <c r="B719" s="9" t="str">
        <f t="shared" si="464"/>
        <v>SPS1</v>
      </c>
      <c r="C719" s="9" t="str">
        <f t="shared" si="464"/>
        <v>CH</v>
      </c>
      <c r="D719" s="2" t="s">
        <v>434</v>
      </c>
      <c r="E719" s="9" t="s">
        <v>8</v>
      </c>
      <c r="F719" s="17">
        <f>F720</f>
        <v>0</v>
      </c>
      <c r="G719" s="17">
        <f t="shared" ref="G719:K719" si="465">G720</f>
        <v>0</v>
      </c>
      <c r="H719" s="17">
        <f t="shared" si="465"/>
        <v>0</v>
      </c>
      <c r="I719" s="17">
        <f t="shared" si="465"/>
        <v>0</v>
      </c>
      <c r="J719" s="17">
        <f t="shared" si="465"/>
        <v>1.6040390440189194</v>
      </c>
      <c r="K719" s="17">
        <f t="shared" si="465"/>
        <v>0.28782012608634788</v>
      </c>
    </row>
    <row r="720" spans="2:11" x14ac:dyDescent="0.35">
      <c r="B720" s="5" t="str">
        <f>B719</f>
        <v>SPS1</v>
      </c>
      <c r="C720" s="5" t="str">
        <f t="shared" ref="C720:C726" si="466">C719</f>
        <v>CH</v>
      </c>
      <c r="D720" t="s">
        <v>929</v>
      </c>
      <c r="E720" s="5" t="s">
        <v>8</v>
      </c>
      <c r="F720" s="18">
        <f>SUM(F721,F723)</f>
        <v>0</v>
      </c>
      <c r="G720" s="18">
        <f t="shared" ref="G720:K720" si="467">SUM(G721,G723)</f>
        <v>0</v>
      </c>
      <c r="H720" s="18">
        <f t="shared" si="467"/>
        <v>0</v>
      </c>
      <c r="I720" s="18">
        <f t="shared" si="467"/>
        <v>0</v>
      </c>
      <c r="J720" s="18">
        <f t="shared" si="467"/>
        <v>1.6040390440189194</v>
      </c>
      <c r="K720" s="18">
        <f t="shared" si="467"/>
        <v>0.28782012608634788</v>
      </c>
    </row>
    <row r="721" spans="2:13" x14ac:dyDescent="0.35">
      <c r="B721" s="5" t="str">
        <f t="shared" ref="B721:B726" si="468">B720</f>
        <v>SPS1</v>
      </c>
      <c r="C721" s="5" t="str">
        <f t="shared" si="466"/>
        <v>CH</v>
      </c>
      <c r="D721" t="s">
        <v>930</v>
      </c>
      <c r="E721" s="5" t="s">
        <v>8</v>
      </c>
      <c r="F721" s="18">
        <f>F722</f>
        <v>0</v>
      </c>
      <c r="G721" s="18">
        <f t="shared" ref="G721:K721" si="469">G722</f>
        <v>0</v>
      </c>
      <c r="H721" s="18">
        <f t="shared" si="469"/>
        <v>0</v>
      </c>
      <c r="I721" s="18">
        <f t="shared" si="469"/>
        <v>0</v>
      </c>
      <c r="J721" s="18">
        <f t="shared" si="469"/>
        <v>3.2306253208343053E-4</v>
      </c>
      <c r="K721" s="18">
        <f t="shared" si="469"/>
        <v>1.8995730847700044E-4</v>
      </c>
    </row>
    <row r="722" spans="2:13" x14ac:dyDescent="0.35">
      <c r="B722" s="5" t="str">
        <f t="shared" si="468"/>
        <v>SPS1</v>
      </c>
      <c r="C722" s="5" t="str">
        <f t="shared" si="466"/>
        <v>CH</v>
      </c>
      <c r="D722" t="s">
        <v>433</v>
      </c>
      <c r="E722" s="5" t="s">
        <v>8</v>
      </c>
      <c r="F722" s="10" cm="1">
        <f t="array" ref="F722">SUMPRODUCT(("SUP_H2NGA"=[1]OUT_SyntheticFuels!$C$4:$C$1000)*1,("H2"=[1]OUT_SyntheticFuels!$A$4:$A$1000)*1,("Var_Fin"=[1]OUT_SyntheticFuels!$B$4:$B$1000)*1,[1]OUT_SyntheticFuels!E$4:E$1000)</f>
        <v>0</v>
      </c>
      <c r="G722" s="10" cm="1">
        <f t="array" ref="G722">SUMPRODUCT(("SUP_H2NGA"=[1]OUT_SyntheticFuels!$C$4:$C$1000)*1,("H2"=[1]OUT_SyntheticFuels!$A$4:$A$1000)*1,("Var_Fin"=[1]OUT_SyntheticFuels!$B$4:$B$1000)*1,[1]OUT_SyntheticFuels!F$4:F$1000)</f>
        <v>0</v>
      </c>
      <c r="H722" s="10" cm="1">
        <f t="array" ref="H722">SUMPRODUCT(("SUP_H2NGA"=[1]OUT_SyntheticFuels!$C$4:$C$1000)*1,("H2"=[1]OUT_SyntheticFuels!$A$4:$A$1000)*1,("Var_Fin"=[1]OUT_SyntheticFuels!$B$4:$B$1000)*1,[1]OUT_SyntheticFuels!G$4:G$1000)</f>
        <v>0</v>
      </c>
      <c r="I722" s="10" cm="1">
        <f t="array" ref="I722">SUMPRODUCT(("SUP_H2NGA"=[1]OUT_SyntheticFuels!$C$4:$C$1000)*1,("H2"=[1]OUT_SyntheticFuels!$A$4:$A$1000)*1,("Var_Fin"=[1]OUT_SyntheticFuels!$B$4:$B$1000)*1,[1]OUT_SyntheticFuels!H$4:H$1000)</f>
        <v>0</v>
      </c>
      <c r="J722" s="10" cm="1">
        <f t="array" ref="J722">SUMPRODUCT(("SUP_H2NGA"=[1]OUT_SyntheticFuels!$C$4:$C$1000)*1,("H2"=[1]OUT_SyntheticFuels!$A$4:$A$1000)*1,("Var_Fin"=[1]OUT_SyntheticFuels!$B$4:$B$1000)*1,[1]OUT_SyntheticFuels!I$4:I$1000)</f>
        <v>3.2306253208343053E-4</v>
      </c>
      <c r="K722" s="10" cm="1">
        <f t="array" ref="K722">SUMPRODUCT(("SUP_H2NGA"=[1]OUT_SyntheticFuels!$C$4:$C$1000)*1,("H2"=[1]OUT_SyntheticFuels!$A$4:$A$1000)*1,("Var_Fin"=[1]OUT_SyntheticFuels!$B$4:$B$1000)*1,[1]OUT_SyntheticFuels!J$4:J$1000)</f>
        <v>1.8995730847700044E-4</v>
      </c>
    </row>
    <row r="723" spans="2:13" x14ac:dyDescent="0.35">
      <c r="B723" s="5" t="str">
        <f t="shared" si="468"/>
        <v>SPS1</v>
      </c>
      <c r="C723" s="5" t="str">
        <f t="shared" si="466"/>
        <v>CH</v>
      </c>
      <c r="D723" t="s">
        <v>931</v>
      </c>
      <c r="E723" s="5" t="s">
        <v>8</v>
      </c>
      <c r="F723" s="18">
        <f>SUM(F724:F726)</f>
        <v>0</v>
      </c>
      <c r="G723" s="18">
        <f t="shared" ref="G723:K723" si="470">SUM(G724:G726)</f>
        <v>0</v>
      </c>
      <c r="H723" s="18">
        <f t="shared" si="470"/>
        <v>0</v>
      </c>
      <c r="I723" s="18">
        <f t="shared" si="470"/>
        <v>0</v>
      </c>
      <c r="J723" s="18">
        <f t="shared" si="470"/>
        <v>1.603715981486836</v>
      </c>
      <c r="K723" s="18">
        <f t="shared" si="470"/>
        <v>0.2876301687778709</v>
      </c>
    </row>
    <row r="724" spans="2:13" x14ac:dyDescent="0.35">
      <c r="B724" s="5" t="str">
        <f t="shared" si="468"/>
        <v>SPS1</v>
      </c>
      <c r="C724" s="5" t="str">
        <f t="shared" si="466"/>
        <v>CH</v>
      </c>
      <c r="D724" t="s">
        <v>448</v>
      </c>
      <c r="E724" s="5" t="s">
        <v>8</v>
      </c>
      <c r="F724" s="10" cm="1">
        <f t="array" ref="F724">SUMPRODUCT(("SUP_H2DSL"=[1]OUT_SyntheticFuels!$C$4:$C$1000)*1,("H2"=[1]OUT_SyntheticFuels!$A$4:$A$1000)*1,("Var_Fin"=[1]OUT_SyntheticFuels!$B$4:$B$1000)*1,[1]OUT_SyntheticFuels!E$4:E$1000)*IFERROR(F716/SUM(F716,F718),0)</f>
        <v>0</v>
      </c>
      <c r="G724" s="10" cm="1">
        <f t="array" ref="G724">SUMPRODUCT(("SUP_H2DSL"=[1]OUT_SyntheticFuels!$C$4:$C$1000)*1,("H2"=[1]OUT_SyntheticFuels!$A$4:$A$1000)*1,("Var_Fin"=[1]OUT_SyntheticFuels!$B$4:$B$1000)*1,[1]OUT_SyntheticFuels!F$4:F$1000)*IFERROR(G716/SUM(G716,G718),0)</f>
        <v>0</v>
      </c>
      <c r="H724" s="10" cm="1">
        <f t="array" ref="H724">SUMPRODUCT(("SUP_H2DSL"=[1]OUT_SyntheticFuels!$C$4:$C$1000)*1,("H2"=[1]OUT_SyntheticFuels!$A$4:$A$1000)*1,("Var_Fin"=[1]OUT_SyntheticFuels!$B$4:$B$1000)*1,[1]OUT_SyntheticFuels!G$4:G$1000)*IFERROR(H716/SUM(H716,H718),0)</f>
        <v>0</v>
      </c>
      <c r="I724" s="10" cm="1">
        <f t="array" ref="I724">SUMPRODUCT(("SUP_H2DSL"=[1]OUT_SyntheticFuels!$C$4:$C$1000)*1,("H2"=[1]OUT_SyntheticFuels!$A$4:$A$1000)*1,("Var_Fin"=[1]OUT_SyntheticFuels!$B$4:$B$1000)*1,[1]OUT_SyntheticFuels!H$4:H$1000)*IFERROR(I716/SUM(I716,I718),0)</f>
        <v>0</v>
      </c>
      <c r="J724" s="10" cm="1">
        <f t="array" ref="J724">SUMPRODUCT(("SUP_H2DSL"=[1]OUT_SyntheticFuels!$C$4:$C$1000)*1,("H2"=[1]OUT_SyntheticFuels!$A$4:$A$1000)*1,("Var_Fin"=[1]OUT_SyntheticFuels!$B$4:$B$1000)*1,[1]OUT_SyntheticFuels!I$4:I$1000)*IFERROR(J716/SUM(J716,J718),0)</f>
        <v>1.3267644789849626</v>
      </c>
      <c r="K724" s="10" cm="1">
        <f t="array" ref="K724">SUMPRODUCT(("SUP_H2DSL"=[1]OUT_SyntheticFuels!$C$4:$C$1000)*1,("H2"=[1]OUT_SyntheticFuels!$A$4:$A$1000)*1,("Var_Fin"=[1]OUT_SyntheticFuels!$B$4:$B$1000)*1,[1]OUT_SyntheticFuels!J$4:J$1000)*IFERROR(K716/SUM(K716,K718),0)</f>
        <v>5.6370416582601099E-2</v>
      </c>
    </row>
    <row r="725" spans="2:13" x14ac:dyDescent="0.35">
      <c r="B725" s="5" t="str">
        <f t="shared" si="468"/>
        <v>SPS1</v>
      </c>
      <c r="C725" s="5" t="str">
        <f t="shared" si="466"/>
        <v>CH</v>
      </c>
      <c r="D725" t="s">
        <v>449</v>
      </c>
      <c r="E725" s="5" t="s">
        <v>8</v>
      </c>
      <c r="F725" s="10" cm="1">
        <f t="array" ref="F725">SUMPRODUCT(("SUP_H2GSL"=[1]OUT_SyntheticFuels!$C$4:$C$1000)*1,("H2"=[1]OUT_SyntheticFuels!$A$4:$A$1000)*1,("Var_Fin"=[1]OUT_SyntheticFuels!$B$4:$B$1000)*1,[1]OUT_SyntheticFuels!E$4:E$1000)</f>
        <v>0</v>
      </c>
      <c r="G725" s="10" cm="1">
        <f t="array" ref="G725">SUMPRODUCT(("SUP_H2GSL"=[1]OUT_SyntheticFuels!$C$4:$C$1000)*1,("H2"=[1]OUT_SyntheticFuels!$A$4:$A$1000)*1,("Var_Fin"=[1]OUT_SyntheticFuels!$B$4:$B$1000)*1,[1]OUT_SyntheticFuels!F$4:F$1000)</f>
        <v>0</v>
      </c>
      <c r="H725" s="10" cm="1">
        <f t="array" ref="H725">SUMPRODUCT(("SUP_H2GSL"=[1]OUT_SyntheticFuels!$C$4:$C$1000)*1,("H2"=[1]OUT_SyntheticFuels!$A$4:$A$1000)*1,("Var_Fin"=[1]OUT_SyntheticFuels!$B$4:$B$1000)*1,[1]OUT_SyntheticFuels!G$4:G$1000)</f>
        <v>0</v>
      </c>
      <c r="I725" s="10" cm="1">
        <f t="array" ref="I725">SUMPRODUCT(("SUP_H2GSL"=[1]OUT_SyntheticFuels!$C$4:$C$1000)*1,("H2"=[1]OUT_SyntheticFuels!$A$4:$A$1000)*1,("Var_Fin"=[1]OUT_SyntheticFuels!$B$4:$B$1000)*1,[1]OUT_SyntheticFuels!H$4:H$1000)</f>
        <v>0</v>
      </c>
      <c r="J725" s="10" cm="1">
        <f t="array" ref="J725">SUMPRODUCT(("SUP_H2GSL"=[1]OUT_SyntheticFuels!$C$4:$C$1000)*1,("H2"=[1]OUT_SyntheticFuels!$A$4:$A$1000)*1,("Var_Fin"=[1]OUT_SyntheticFuels!$B$4:$B$1000)*1,[1]OUT_SyntheticFuels!I$4:I$1000)</f>
        <v>0.11078009944908514</v>
      </c>
      <c r="K725" s="10" cm="1">
        <f t="array" ref="K725">SUMPRODUCT(("SUP_H2GSL"=[1]OUT_SyntheticFuels!$C$4:$C$1000)*1,("H2"=[1]OUT_SyntheticFuels!$A$4:$A$1000)*1,("Var_Fin"=[1]OUT_SyntheticFuels!$B$4:$B$1000)*1,[1]OUT_SyntheticFuels!J$4:J$1000)</f>
        <v>0.23125975219526981</v>
      </c>
    </row>
    <row r="726" spans="2:13" x14ac:dyDescent="0.35">
      <c r="B726" s="5" t="str">
        <f t="shared" si="468"/>
        <v>SPS1</v>
      </c>
      <c r="C726" s="5" t="str">
        <f t="shared" si="466"/>
        <v>CH</v>
      </c>
      <c r="D726" t="s">
        <v>450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SUMPRODUCT(("SUP_H2DSL"=[1]OUT_SyntheticFuels!$C$4:$C$1000)*1,("H2"=[1]OUT_SyntheticFuels!$A$4:$A$1000)*1,("Var_Fin"=[1]OUT_SyntheticFuels!$B$4:$B$1000)*1,[1]OUT_SyntheticFuels!E$4:E$1000)-F724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SUMPRODUCT(("SUP_H2DSL"=[1]OUT_SyntheticFuels!$C$4:$C$1000)*1,("H2"=[1]OUT_SyntheticFuels!$A$4:$A$1000)*1,("Var_Fin"=[1]OUT_SyntheticFuels!$B$4:$B$1000)*1,[1]OUT_SyntheticFuels!F$4:F$1000)-G724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SUMPRODUCT(("SUP_H2DSL"=[1]OUT_SyntheticFuels!$C$4:$C$1000)*1,("H2"=[1]OUT_SyntheticFuels!$A$4:$A$1000)*1,("Var_Fin"=[1]OUT_SyntheticFuels!$B$4:$B$1000)*1,[1]OUT_SyntheticFuels!G$4:G$1000)-H724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SUMPRODUCT(("SUP_H2DSL"=[1]OUT_SyntheticFuels!$C$4:$C$1000)*1,("H2"=[1]OUT_SyntheticFuels!$A$4:$A$1000)*1,("Var_Fin"=[1]OUT_SyntheticFuels!$B$4:$B$1000)*1,[1]OUT_SyntheticFuels!H$4:H$1000)-I724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SUMPRODUCT(("SUP_H2DSL"=[1]OUT_SyntheticFuels!$C$4:$C$1000)*1,("H2"=[1]OUT_SyntheticFuels!$A$4:$A$1000)*1,("Var_Fin"=[1]OUT_SyntheticFuels!$B$4:$B$1000)*1,[1]OUT_SyntheticFuels!I$4:I$1000)-J724</f>
        <v>0.16617140305278832</v>
      </c>
      <c r="K726" s="10" cm="1">
        <f t="array" ref="K726">SUMPRODUCT(("SUP_H2DSL"=[1]OUT_SyntheticFuels!$C$4:$C$1000)*1,("H2"=[1]OUT_SyntheticFuels!$A$4:$A$1000)*1,("Var_Fin"=[1]OUT_SyntheticFuels!$B$4:$B$1000)*1,[1]OUT_SyntheticFuels!J$4:J$1000)-K724</f>
        <v>0</v>
      </c>
    </row>
    <row r="727" spans="2:13" x14ac:dyDescent="0.35">
      <c r="B727" s="9" t="str">
        <f>B726</f>
        <v>SPS1</v>
      </c>
      <c r="C727" s="9" t="str">
        <f>C726</f>
        <v>CH</v>
      </c>
      <c r="D727" s="2" t="s">
        <v>440</v>
      </c>
      <c r="E727" s="9" t="s">
        <v>240</v>
      </c>
      <c r="F727" s="14" t="s">
        <v>292</v>
      </c>
      <c r="G727" s="14" t="s">
        <v>292</v>
      </c>
      <c r="H727" s="14" t="s">
        <v>292</v>
      </c>
      <c r="I727" s="14" t="s">
        <v>292</v>
      </c>
      <c r="J727" s="14" t="s">
        <v>292</v>
      </c>
      <c r="K727" s="14" t="s">
        <v>292</v>
      </c>
    </row>
    <row r="728" spans="2:13" x14ac:dyDescent="0.35">
      <c r="B728" s="5" t="str">
        <f>B727</f>
        <v>SPS1</v>
      </c>
      <c r="C728" s="5" t="str">
        <f t="shared" ref="C728:C733" si="471">C727</f>
        <v>CH</v>
      </c>
      <c r="D728" t="s">
        <v>436</v>
      </c>
      <c r="E728" s="5" t="s">
        <v>240</v>
      </c>
      <c r="F728" s="14" t="str">
        <f>IFERROR(F714/F722,"-")</f>
        <v>-</v>
      </c>
      <c r="G728" s="14" t="str">
        <f t="shared" ref="G728:K728" si="472">IFERROR(G714/G722,"-")</f>
        <v>-</v>
      </c>
      <c r="H728" s="14" t="str">
        <f t="shared" si="472"/>
        <v>-</v>
      </c>
      <c r="I728" s="14" t="str">
        <f t="shared" si="472"/>
        <v>-</v>
      </c>
      <c r="J728" s="14">
        <f t="shared" si="472"/>
        <v>0.7699999999999988</v>
      </c>
      <c r="K728" s="14">
        <f t="shared" si="472"/>
        <v>0.76999999999999924</v>
      </c>
    </row>
    <row r="729" spans="2:13" x14ac:dyDescent="0.35">
      <c r="B729" s="5" t="str">
        <f t="shared" ref="B729:B733" si="473">B728</f>
        <v>SPS1</v>
      </c>
      <c r="C729" s="5" t="str">
        <f t="shared" si="471"/>
        <v>CH</v>
      </c>
      <c r="D729" t="s">
        <v>437</v>
      </c>
      <c r="E729" s="5" t="s">
        <v>240</v>
      </c>
      <c r="F729" s="16" t="str">
        <f>IFERROR(F716/F724,"-")</f>
        <v>-</v>
      </c>
      <c r="G729" s="16" t="str">
        <f t="shared" ref="G729:K729" si="474">IFERROR(G716/G724,"-")</f>
        <v>-</v>
      </c>
      <c r="H729" s="16" t="str">
        <f t="shared" si="474"/>
        <v>-</v>
      </c>
      <c r="I729" s="16" t="str">
        <f t="shared" si="474"/>
        <v>-</v>
      </c>
      <c r="J729" s="16">
        <f t="shared" si="474"/>
        <v>0.45686268277301573</v>
      </c>
      <c r="K729" s="16">
        <f t="shared" si="474"/>
        <v>0.57999736628108201</v>
      </c>
      <c r="L729" s="9"/>
      <c r="M729" s="9"/>
    </row>
    <row r="730" spans="2:13" x14ac:dyDescent="0.35">
      <c r="B730" s="5" t="str">
        <f t="shared" si="473"/>
        <v>SPS1</v>
      </c>
      <c r="C730" s="5" t="str">
        <f t="shared" si="471"/>
        <v>CH</v>
      </c>
      <c r="D730" t="s">
        <v>438</v>
      </c>
      <c r="E730" s="5" t="s">
        <v>240</v>
      </c>
      <c r="F730" s="16" t="str">
        <f>IFERROR(F717/F725,"-")</f>
        <v>-</v>
      </c>
      <c r="G730" s="16" t="str">
        <f t="shared" ref="G730:K730" si="475">IFERROR(G717/G725,"-")</f>
        <v>-</v>
      </c>
      <c r="H730" s="16" t="str">
        <f t="shared" si="475"/>
        <v>-</v>
      </c>
      <c r="I730" s="16" t="str">
        <f t="shared" si="475"/>
        <v>-</v>
      </c>
      <c r="J730" s="16">
        <f t="shared" si="475"/>
        <v>0.69999999999999929</v>
      </c>
      <c r="K730" s="16">
        <f t="shared" si="475"/>
        <v>0.69999999999999907</v>
      </c>
      <c r="L730" s="9"/>
      <c r="M730" s="9"/>
    </row>
    <row r="731" spans="2:13" x14ac:dyDescent="0.35">
      <c r="B731" s="5" t="str">
        <f t="shared" si="473"/>
        <v>SPS1</v>
      </c>
      <c r="C731" s="5" t="str">
        <f t="shared" si="471"/>
        <v>CH</v>
      </c>
      <c r="D731" t="s">
        <v>439</v>
      </c>
      <c r="E731" s="5" t="s">
        <v>240</v>
      </c>
      <c r="F731" s="16" t="str">
        <f>IFERROR(F718/F726,"-")</f>
        <v>-</v>
      </c>
      <c r="G731" s="16" t="str">
        <f t="shared" ref="G731:K731" si="476">IFERROR(G718/G726,"-")</f>
        <v>-</v>
      </c>
      <c r="H731" s="16" t="str">
        <f t="shared" si="476"/>
        <v>-</v>
      </c>
      <c r="I731" s="16" t="str">
        <f t="shared" si="476"/>
        <v>-</v>
      </c>
      <c r="J731" s="16">
        <f t="shared" si="476"/>
        <v>0.45686268277301573</v>
      </c>
      <c r="K731" s="16" t="str">
        <f t="shared" si="476"/>
        <v>-</v>
      </c>
      <c r="L731" s="9"/>
      <c r="M731" s="9"/>
    </row>
    <row r="732" spans="2:13" x14ac:dyDescent="0.35">
      <c r="B732" s="5" t="str">
        <f t="shared" si="473"/>
        <v>SPS1</v>
      </c>
      <c r="C732" s="5" t="str">
        <f t="shared" si="471"/>
        <v>CH</v>
      </c>
      <c r="D732" s="2" t="s">
        <v>444</v>
      </c>
      <c r="E732" s="9" t="s">
        <v>442</v>
      </c>
      <c r="F732" s="17">
        <f>F733</f>
        <v>0</v>
      </c>
      <c r="G732" s="17">
        <f t="shared" ref="G732" si="477">G733</f>
        <v>0</v>
      </c>
      <c r="H732" s="17">
        <f t="shared" ref="H732" si="478">H733</f>
        <v>0</v>
      </c>
      <c r="I732" s="17">
        <f t="shared" ref="I732" si="479">I733</f>
        <v>0</v>
      </c>
      <c r="J732" s="17">
        <f t="shared" ref="J732" si="480">J733</f>
        <v>6.9207605986136067E-2</v>
      </c>
      <c r="K732" s="17">
        <f t="shared" ref="K732" si="481">K733</f>
        <v>1.435166015499287E-2</v>
      </c>
      <c r="L732" s="9"/>
      <c r="M732" s="9"/>
    </row>
    <row r="733" spans="2:13" x14ac:dyDescent="0.35">
      <c r="B733" s="5" t="str">
        <f t="shared" si="473"/>
        <v>SPS1</v>
      </c>
      <c r="C733" s="5" t="str">
        <f t="shared" si="471"/>
        <v>CH</v>
      </c>
      <c r="D733" t="s">
        <v>443</v>
      </c>
      <c r="E733" s="5" t="s">
        <v>442</v>
      </c>
      <c r="F733" s="18">
        <f>SUM(F737,F739)</f>
        <v>0</v>
      </c>
      <c r="G733" s="18">
        <f t="shared" ref="G733" si="482">SUM(G737,G739)</f>
        <v>0</v>
      </c>
      <c r="H733" s="18">
        <f t="shared" ref="H733" si="483">SUM(H737,H739)</f>
        <v>0</v>
      </c>
      <c r="I733" s="18">
        <f t="shared" ref="I733" si="484">SUM(I737,I739)</f>
        <v>0</v>
      </c>
      <c r="J733" s="18">
        <f t="shared" ref="J733" si="485">SUM(J737,J739)</f>
        <v>6.9207605986136067E-2</v>
      </c>
      <c r="K733" s="18">
        <f t="shared" ref="K733" si="486">SUM(K737,K739)</f>
        <v>1.435166015499287E-2</v>
      </c>
      <c r="L733" s="9"/>
      <c r="M733" s="9"/>
    </row>
    <row r="734" spans="2:13" x14ac:dyDescent="0.35">
      <c r="B734" s="5" t="str">
        <f t="shared" ref="B734:C736" si="487">B733</f>
        <v>SPS1</v>
      </c>
      <c r="C734" s="5" t="str">
        <f t="shared" si="487"/>
        <v>CH</v>
      </c>
      <c r="D734" t="s">
        <v>445</v>
      </c>
      <c r="E734" s="5" t="s">
        <v>442</v>
      </c>
      <c r="F734" s="18">
        <v>0</v>
      </c>
      <c r="G734" s="18">
        <v>0</v>
      </c>
      <c r="H734" s="18">
        <v>0</v>
      </c>
      <c r="I734" s="18">
        <v>0</v>
      </c>
      <c r="J734" s="18" cm="1">
        <f t="array" ref="J734">SUMPRODUCT(("CHPWSTCCS"=[1]OUT_CO2util!$C$3:$C$1000)*1+("EWOD-CCS"=[1]OUT_CO2util!$C$3:$C$1000)*1+("SUP_WODH2CCS"=[1]OUT_CO2util!$C$3:$C$1000)*1+("EWSTINCCS"=[1]OUT_CO2util!$C$3:$C$1000)*1,("Var_fout"=[1]OUT_CO2util!$B$3:$B$1000)*1,("CO2_O"=[1]OUT_CO2util!$A$3:$A$1000)*1,[1]OUT_CO2util!D$3:D$1000)/SUMPRODUCT(("Var_fout"=[1]OUT_CO2util!$B$3:$B$1000)*1,("CO2_O"=[1]OUT_CO2util!$A$3:$A$1000)*1,[1]OUT_CO2util!D$3:D$1000)*J733</f>
        <v>5.2381324742175862E-2</v>
      </c>
      <c r="K734" s="18" cm="1">
        <f t="array" ref="K734">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733</f>
        <v>1.0167700414802182E-2</v>
      </c>
      <c r="L734" s="9"/>
      <c r="M734" s="9"/>
    </row>
    <row r="735" spans="2:13" x14ac:dyDescent="0.35">
      <c r="B735" s="5" t="str">
        <f t="shared" si="487"/>
        <v>SPS1</v>
      </c>
      <c r="C735" s="5" t="str">
        <f t="shared" si="487"/>
        <v>CH</v>
      </c>
      <c r="D735" t="s">
        <v>446</v>
      </c>
      <c r="E735" s="5" t="s">
        <v>442</v>
      </c>
      <c r="F735" s="18">
        <v>0</v>
      </c>
      <c r="G735" s="18">
        <v>0</v>
      </c>
      <c r="H735" s="18">
        <v>0</v>
      </c>
      <c r="I735" s="18">
        <v>0</v>
      </c>
      <c r="J735" s="18">
        <f>J733-J734-J736</f>
        <v>1.6826178395759048E-2</v>
      </c>
      <c r="K735" s="18">
        <f>K733-K734-K736</f>
        <v>4.1839365951757621E-3</v>
      </c>
      <c r="L735" s="9"/>
      <c r="M735" s="9"/>
    </row>
    <row r="736" spans="2:13" x14ac:dyDescent="0.35">
      <c r="B736" s="5" t="str">
        <f t="shared" si="487"/>
        <v>SPS1</v>
      </c>
      <c r="C736" s="5" t="str">
        <f t="shared" si="487"/>
        <v>CH</v>
      </c>
      <c r="D736" t="s">
        <v>455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733</f>
        <v>1.0284820115818414E-7</v>
      </c>
      <c r="K736" s="18" cm="1">
        <f t="array" ref="K736">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733</f>
        <v>2.3145014925547509E-8</v>
      </c>
      <c r="L736" s="9"/>
    </row>
    <row r="737" spans="2:13" x14ac:dyDescent="0.35">
      <c r="B737" s="5" t="str">
        <f>B733</f>
        <v>SPS1</v>
      </c>
      <c r="C737" s="5" t="str">
        <f>C733</f>
        <v>CH</v>
      </c>
      <c r="D737" t="s">
        <v>932</v>
      </c>
      <c r="E737" s="5" t="s">
        <v>442</v>
      </c>
      <c r="F737" s="18">
        <f>F738</f>
        <v>0</v>
      </c>
      <c r="G737" s="18">
        <f t="shared" ref="G737" si="488">G738</f>
        <v>0</v>
      </c>
      <c r="H737" s="18">
        <f t="shared" ref="H737" si="489">H738</f>
        <v>0</v>
      </c>
      <c r="I737" s="18">
        <f t="shared" ref="I737" si="490">I738</f>
        <v>0</v>
      </c>
      <c r="J737" s="18">
        <f t="shared" ref="J737" si="491">J738</f>
        <v>1.4029959643319207E-5</v>
      </c>
      <c r="K737" s="18">
        <f t="shared" ref="K737" si="492">K738</f>
        <v>8.2494659925391643E-6</v>
      </c>
      <c r="L737" s="9"/>
    </row>
    <row r="738" spans="2:13" x14ac:dyDescent="0.35">
      <c r="B738" s="5" t="str">
        <f>B737</f>
        <v>SPS1</v>
      </c>
      <c r="C738" s="5" t="str">
        <f>C737</f>
        <v>CH</v>
      </c>
      <c r="D738" t="s">
        <v>451</v>
      </c>
      <c r="E738" s="5" t="s">
        <v>442</v>
      </c>
      <c r="F738" s="10" cm="1">
        <f t="array" ref="F738">SUMPRODUCT(("SUP_H2NGA"=[1]OUT_SyntheticFuels!$C$4:$C$1000)*1,("CO2_M"=[1]OUT_SyntheticFuels!$A$4:$A$1000)*1,("Var_Fin"=[1]OUT_SyntheticFuels!$B$4:$B$1000)*1,[1]OUT_SyntheticFuels!E$4:E$1000)/1000</f>
        <v>0</v>
      </c>
      <c r="G738" s="10" cm="1">
        <f t="array" ref="G738">SUMPRODUCT(("SUP_H2NGA"=[1]OUT_SyntheticFuels!$C$4:$C$1000)*1,("CO2_M"=[1]OUT_SyntheticFuels!$A$4:$A$1000)*1,("Var_Fin"=[1]OUT_SyntheticFuels!$B$4:$B$1000)*1,[1]OUT_SyntheticFuels!F$4:F$1000)/1000</f>
        <v>0</v>
      </c>
      <c r="H738" s="10" cm="1">
        <f t="array" ref="H738">SUMPRODUCT(("SUP_H2NGA"=[1]OUT_SyntheticFuels!$C$4:$C$1000)*1,("CO2_M"=[1]OUT_SyntheticFuels!$A$4:$A$1000)*1,("Var_Fin"=[1]OUT_SyntheticFuels!$B$4:$B$1000)*1,[1]OUT_SyntheticFuels!G$4:G$1000)/1000</f>
        <v>0</v>
      </c>
      <c r="I738" s="10" cm="1">
        <f t="array" ref="I738">SUMPRODUCT(("SUP_H2NGA"=[1]OUT_SyntheticFuels!$C$4:$C$1000)*1,("CO2_M"=[1]OUT_SyntheticFuels!$A$4:$A$1000)*1,("Var_Fin"=[1]OUT_SyntheticFuels!$B$4:$B$1000)*1,[1]OUT_SyntheticFuels!H$4:H$1000)/1000</f>
        <v>0</v>
      </c>
      <c r="J738" s="10" cm="1">
        <f t="array" ref="J738">SUMPRODUCT(("SUP_H2NGA"=[1]OUT_SyntheticFuels!$C$4:$C$1000)*1,("CO2_M"=[1]OUT_SyntheticFuels!$A$4:$A$1000)*1,("Var_Fin"=[1]OUT_SyntheticFuels!$B$4:$B$1000)*1,[1]OUT_SyntheticFuels!I$4:I$1000)/1000</f>
        <v>1.4029959643319207E-5</v>
      </c>
      <c r="K738" s="10" cm="1">
        <f t="array" ref="K738">SUMPRODUCT(("SUP_H2NGA"=[1]OUT_SyntheticFuels!$C$4:$C$1000)*1,("CO2_M"=[1]OUT_SyntheticFuels!$A$4:$A$1000)*1,("Var_Fin"=[1]OUT_SyntheticFuels!$B$4:$B$1000)*1,[1]OUT_SyntheticFuels!J$4:J$1000)/1000</f>
        <v>8.2494659925391643E-6</v>
      </c>
      <c r="L738" s="9"/>
    </row>
    <row r="739" spans="2:13" x14ac:dyDescent="0.35">
      <c r="B739" s="5" t="str">
        <f t="shared" ref="B739:B742" si="493">B738</f>
        <v>SPS1</v>
      </c>
      <c r="C739" s="5" t="str">
        <f t="shared" ref="C739:C742" si="494">C738</f>
        <v>CH</v>
      </c>
      <c r="D739" t="s">
        <v>933</v>
      </c>
      <c r="E739" s="5" t="s">
        <v>442</v>
      </c>
      <c r="F739" s="18">
        <f>SUM(F740:F742)</f>
        <v>0</v>
      </c>
      <c r="G739" s="18">
        <f t="shared" ref="G739" si="495">SUM(G740:G742)</f>
        <v>0</v>
      </c>
      <c r="H739" s="18">
        <f t="shared" ref="H739" si="496">SUM(H740:H742)</f>
        <v>0</v>
      </c>
      <c r="I739" s="18">
        <f t="shared" ref="I739" si="497">SUM(I740:I742)</f>
        <v>0</v>
      </c>
      <c r="J739" s="18">
        <f t="shared" ref="J739" si="498">SUM(J740:J742)</f>
        <v>6.9193576026492745E-2</v>
      </c>
      <c r="K739" s="18">
        <f t="shared" ref="K739" si="499">SUM(K740:K742)</f>
        <v>1.434341068900033E-2</v>
      </c>
      <c r="L739" s="9"/>
    </row>
    <row r="740" spans="2:13" x14ac:dyDescent="0.35">
      <c r="B740" s="5" t="str">
        <f t="shared" si="493"/>
        <v>SPS1</v>
      </c>
      <c r="C740" s="5" t="str">
        <f t="shared" si="494"/>
        <v>CH</v>
      </c>
      <c r="D740" t="s">
        <v>452</v>
      </c>
      <c r="E740" s="5" t="s">
        <v>442</v>
      </c>
      <c r="F740" s="10" cm="1">
        <f t="array" ref="F740">SUMPRODUCT(("SUP_H2DSL"=[1]OUT_SyntheticFuels!$C$4:$C$1000)*1,("co2_m"=[1]OUT_SyntheticFuels!$A$4:$A$1000)*1,("Var_Fin"=[1]OUT_SyntheticFuels!$B$4:$B$1000)*1,[1]OUT_SyntheticFuels!E$4:E$1000)*IFERROR(F716/SUM(F716,F718),0)/1000</f>
        <v>0</v>
      </c>
      <c r="G740" s="10" cm="1">
        <f t="array" ref="G740">SUMPRODUCT(("SUP_H2DSL"=[1]OUT_SyntheticFuels!$C$4:$C$1000)*1,("co2_m"=[1]OUT_SyntheticFuels!$A$4:$A$1000)*1,("Var_Fin"=[1]OUT_SyntheticFuels!$B$4:$B$1000)*1,[1]OUT_SyntheticFuels!F$4:F$1000)*IFERROR(G716/SUM(G716,G718),0)/1000</f>
        <v>0</v>
      </c>
      <c r="H740" s="10" cm="1">
        <f t="array" ref="H740">SUMPRODUCT(("SUP_H2DSL"=[1]OUT_SyntheticFuels!$C$4:$C$1000)*1,("co2_m"=[1]OUT_SyntheticFuels!$A$4:$A$1000)*1,("Var_Fin"=[1]OUT_SyntheticFuels!$B$4:$B$1000)*1,[1]OUT_SyntheticFuels!G$4:G$1000)*IFERROR(H716/SUM(H716,H718),0)/1000</f>
        <v>0</v>
      </c>
      <c r="I740" s="10" cm="1">
        <f t="array" ref="I740">SUMPRODUCT(("SUP_H2DSL"=[1]OUT_SyntheticFuels!$C$4:$C$1000)*1,("co2_m"=[1]OUT_SyntheticFuels!$A$4:$A$1000)*1,("Var_Fin"=[1]OUT_SyntheticFuels!$B$4:$B$1000)*1,[1]OUT_SyntheticFuels!H$4:H$1000)*IFERROR(I716/SUM(I716,I718),0)/1000</f>
        <v>0</v>
      </c>
      <c r="J740" s="10" cm="1">
        <f t="array" ref="J740">SUMPRODUCT(("SUP_H2DSL"=[1]OUT_SyntheticFuels!$C$4:$C$1000)*1,("co2_m"=[1]OUT_SyntheticFuels!$A$4:$A$1000)*1,("Var_Fin"=[1]OUT_SyntheticFuels!$B$4:$B$1000)*1,[1]OUT_SyntheticFuels!I$4:I$1000)*IFERROR(J716/SUM(J716,J718),0)/1000</f>
        <v>5.6406065059566773E-2</v>
      </c>
      <c r="K740" s="10" cm="1">
        <f t="array" ref="K740">SUMPRODUCT(("SUP_H2DSL"=[1]OUT_SyntheticFuels!$C$4:$C$1000)*1,("co2_m"=[1]OUT_SyntheticFuels!$A$4:$A$1000)*1,("Var_Fin"=[1]OUT_SyntheticFuels!$B$4:$B$1000)*1,[1]OUT_SyntheticFuels!J$4:J$1000)*IFERROR(K716/SUM(K716,K718),0)/1000</f>
        <v>2.3965318905927102E-3</v>
      </c>
      <c r="L740" s="9"/>
    </row>
    <row r="741" spans="2:13" x14ac:dyDescent="0.35">
      <c r="B741" s="5" t="str">
        <f t="shared" si="493"/>
        <v>SPS1</v>
      </c>
      <c r="C741" s="5" t="str">
        <f t="shared" si="494"/>
        <v>CH</v>
      </c>
      <c r="D741" t="s">
        <v>453</v>
      </c>
      <c r="E741" s="5" t="s">
        <v>442</v>
      </c>
      <c r="F741" s="10" cm="1">
        <f t="array" ref="F741">SUMPRODUCT(("SUP_H2GSL"=[1]OUT_SyntheticFuels!$C$4:$C$1000)*1,("co2_m"=[1]OUT_SyntheticFuels!$A$4:$A$1000)*1,("Var_Fin"=[1]OUT_SyntheticFuels!$B$4:$B$1000)*1,[1]OUT_SyntheticFuels!E$4:E$1000)/1000</f>
        <v>0</v>
      </c>
      <c r="G741" s="10" cm="1">
        <f t="array" ref="G741">SUMPRODUCT(("SUP_H2GSL"=[1]OUT_SyntheticFuels!$C$4:$C$1000)*1,("co2_m"=[1]OUT_SyntheticFuels!$A$4:$A$1000)*1,("Var_Fin"=[1]OUT_SyntheticFuels!$B$4:$B$1000)*1,[1]OUT_SyntheticFuels!F$4:F$1000)/1000</f>
        <v>0</v>
      </c>
      <c r="H741" s="10" cm="1">
        <f t="array" ref="H741">SUMPRODUCT(("SUP_H2GSL"=[1]OUT_SyntheticFuels!$C$4:$C$1000)*1,("co2_m"=[1]OUT_SyntheticFuels!$A$4:$A$1000)*1,("Var_Fin"=[1]OUT_SyntheticFuels!$B$4:$B$1000)*1,[1]OUT_SyntheticFuels!G$4:G$1000)/1000</f>
        <v>0</v>
      </c>
      <c r="I741" s="10" cm="1">
        <f t="array" ref="I741">SUMPRODUCT(("SUP_H2GSL"=[1]OUT_SyntheticFuels!$C$4:$C$1000)*1,("co2_m"=[1]OUT_SyntheticFuels!$A$4:$A$1000)*1,("Var_Fin"=[1]OUT_SyntheticFuels!$B$4:$B$1000)*1,[1]OUT_SyntheticFuels!H$4:H$1000)/1000</f>
        <v>0</v>
      </c>
      <c r="J741" s="10" cm="1">
        <f t="array" ref="J741">SUMPRODUCT(("SUP_H2GSL"=[1]OUT_SyntheticFuels!$C$4:$C$1000)*1,("co2_m"=[1]OUT_SyntheticFuels!$A$4:$A$1000)*1,("Var_Fin"=[1]OUT_SyntheticFuels!$B$4:$B$1000)*1,[1]OUT_SyntheticFuels!I$4:I$1000)/1000</f>
        <v>5.7228999375397291E-3</v>
      </c>
      <c r="K741" s="10" cm="1">
        <f t="array" ref="K741">SUMPRODUCT(("SUP_H2GSL"=[1]OUT_SyntheticFuels!$C$4:$C$1000)*1,("co2_m"=[1]OUT_SyntheticFuels!$A$4:$A$1000)*1,("Var_Fin"=[1]OUT_SyntheticFuels!$B$4:$B$1000)*1,[1]OUT_SyntheticFuels!J$4:J$1000)/1000</f>
        <v>1.1946878798407621E-2</v>
      </c>
      <c r="L741" s="9"/>
      <c r="M741" s="9"/>
    </row>
    <row r="742" spans="2:13" x14ac:dyDescent="0.35">
      <c r="B742" s="5" t="str">
        <f t="shared" si="493"/>
        <v>SPS1</v>
      </c>
      <c r="C742" s="5" t="str">
        <f t="shared" si="494"/>
        <v>CH</v>
      </c>
      <c r="D742" t="s">
        <v>454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SUMPRODUCT(("SUP_H2DSL"=[1]OUT_SyntheticFuels!$C$4:$C$1000)*1,("co2_m"=[1]OUT_SyntheticFuels!$A$4:$A$1000)*1,("Var_Fin"=[1]OUT_SyntheticFuels!$B$4:$B$1000)*1,[1]OUT_SyntheticFuels!E$4:E$1000)/1000-F740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SUMPRODUCT(("SUP_H2DSL"=[1]OUT_SyntheticFuels!$C$4:$C$1000)*1,("co2_m"=[1]OUT_SyntheticFuels!$A$4:$A$1000)*1,("Var_Fin"=[1]OUT_SyntheticFuels!$B$4:$B$1000)*1,[1]OUT_SyntheticFuels!F$4:F$1000)/1000-G740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SUMPRODUCT(("SUP_H2DSL"=[1]OUT_SyntheticFuels!$C$4:$C$1000)*1,("co2_m"=[1]OUT_SyntheticFuels!$A$4:$A$1000)*1,("Var_Fin"=[1]OUT_SyntheticFuels!$B$4:$B$1000)*1,[1]OUT_SyntheticFuels!G$4:G$1000)/1000-H740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SUMPRODUCT(("SUP_H2DSL"=[1]OUT_SyntheticFuels!$C$4:$C$1000)*1,("co2_m"=[1]OUT_SyntheticFuels!$A$4:$A$1000)*1,("Var_Fin"=[1]OUT_SyntheticFuels!$B$4:$B$1000)*1,[1]OUT_SyntheticFuels!H$4:H$1000)/1000-I740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SUMPRODUCT(("SUP_H2DSL"=[1]OUT_SyntheticFuels!$C$4:$C$1000)*1,("co2_m"=[1]OUT_SyntheticFuels!$A$4:$A$1000)*1,("Var_Fin"=[1]OUT_SyntheticFuels!$B$4:$B$1000)*1,[1]OUT_SyntheticFuels!I$4:I$1000)/1000-J740</f>
        <v>7.0646110293862419E-3</v>
      </c>
      <c r="K742" s="10" cm="1">
        <f t="array" ref="K742">SUMPRODUCT(("SUP_H2DSL"=[1]OUT_SyntheticFuels!$C$4:$C$1000)*1,("co2_m"=[1]OUT_SyntheticFuels!$A$4:$A$1000)*1,("Var_Fin"=[1]OUT_SyntheticFuels!$B$4:$B$1000)*1,[1]OUT_SyntheticFuels!J$4:J$1000)/1000-K740</f>
        <v>0</v>
      </c>
      <c r="L742" s="9"/>
      <c r="M742" s="9"/>
    </row>
    <row r="743" spans="2:13" x14ac:dyDescent="0.35">
      <c r="B743" s="5" t="str">
        <f>B739</f>
        <v>SPS1</v>
      </c>
      <c r="C743" s="5" t="str">
        <f>C739</f>
        <v>CH</v>
      </c>
      <c r="D743" t="s">
        <v>934</v>
      </c>
      <c r="E743" s="5" t="s">
        <v>442</v>
      </c>
      <c r="F743" s="18">
        <f>IFERROR(F$734/F$733,0)*F737</f>
        <v>0</v>
      </c>
      <c r="G743" s="18">
        <f t="shared" ref="G743:K743" si="500">IFERROR(G$734/G$733,0)*G737</f>
        <v>0</v>
      </c>
      <c r="H743" s="18">
        <f t="shared" si="500"/>
        <v>0</v>
      </c>
      <c r="I743" s="18">
        <f t="shared" si="500"/>
        <v>0</v>
      </c>
      <c r="J743" s="18">
        <f t="shared" si="500"/>
        <v>1.0618888801666464E-5</v>
      </c>
      <c r="K743" s="18">
        <f t="shared" si="500"/>
        <v>5.8444875288561091E-6</v>
      </c>
    </row>
    <row r="744" spans="2:13" x14ac:dyDescent="0.35">
      <c r="B744" s="5" t="str">
        <f>B743</f>
        <v>SPS1</v>
      </c>
      <c r="C744" s="5" t="str">
        <f>C743</f>
        <v>CH</v>
      </c>
      <c r="D744" t="s">
        <v>456</v>
      </c>
      <c r="E744" s="5" t="s">
        <v>442</v>
      </c>
      <c r="F744" s="18">
        <f t="shared" ref="F744:K744" si="501">IFERROR(F$734/F$733,0)*F738</f>
        <v>0</v>
      </c>
      <c r="G744" s="18">
        <f t="shared" si="501"/>
        <v>0</v>
      </c>
      <c r="H744" s="18">
        <f t="shared" si="501"/>
        <v>0</v>
      </c>
      <c r="I744" s="18">
        <f t="shared" si="501"/>
        <v>0</v>
      </c>
      <c r="J744" s="18">
        <f t="shared" si="501"/>
        <v>1.0618888801666464E-5</v>
      </c>
      <c r="K744" s="18">
        <f t="shared" si="501"/>
        <v>5.8444875288561091E-6</v>
      </c>
    </row>
    <row r="745" spans="2:13" x14ac:dyDescent="0.35">
      <c r="B745" s="5" t="str">
        <f t="shared" ref="B745:B748" si="502">B744</f>
        <v>SPS1</v>
      </c>
      <c r="C745" s="5" t="str">
        <f t="shared" ref="C745:C748" si="503">C744</f>
        <v>CH</v>
      </c>
      <c r="D745" t="s">
        <v>935</v>
      </c>
      <c r="E745" s="5" t="s">
        <v>442</v>
      </c>
      <c r="F745" s="18">
        <f t="shared" ref="F745:K745" si="504">IFERROR(F$734/F$733,0)*F739</f>
        <v>0</v>
      </c>
      <c r="G745" s="18">
        <f t="shared" si="504"/>
        <v>0</v>
      </c>
      <c r="H745" s="18">
        <f t="shared" si="504"/>
        <v>0</v>
      </c>
      <c r="I745" s="18">
        <f t="shared" si="504"/>
        <v>0</v>
      </c>
      <c r="J745" s="18">
        <f t="shared" si="504"/>
        <v>5.2370705853374194E-2</v>
      </c>
      <c r="K745" s="18">
        <f t="shared" si="504"/>
        <v>1.0161855927273325E-2</v>
      </c>
    </row>
    <row r="746" spans="2:13" x14ac:dyDescent="0.35">
      <c r="B746" s="5" t="str">
        <f t="shared" si="502"/>
        <v>SPS1</v>
      </c>
      <c r="C746" s="5" t="str">
        <f t="shared" si="503"/>
        <v>CH</v>
      </c>
      <c r="D746" t="s">
        <v>457</v>
      </c>
      <c r="E746" s="5" t="s">
        <v>442</v>
      </c>
      <c r="F746" s="18">
        <f t="shared" ref="F746:K746" si="505">IFERROR(F$734/F$733,0)*F740</f>
        <v>0</v>
      </c>
      <c r="G746" s="18">
        <f t="shared" si="505"/>
        <v>0</v>
      </c>
      <c r="H746" s="18">
        <f t="shared" si="505"/>
        <v>0</v>
      </c>
      <c r="I746" s="18">
        <f t="shared" si="505"/>
        <v>0</v>
      </c>
      <c r="J746" s="18">
        <f t="shared" si="505"/>
        <v>4.2692192125607528E-2</v>
      </c>
      <c r="K746" s="18">
        <f t="shared" si="505"/>
        <v>1.697867566184594E-3</v>
      </c>
    </row>
    <row r="747" spans="2:13" x14ac:dyDescent="0.35">
      <c r="B747" s="5" t="str">
        <f t="shared" si="502"/>
        <v>SPS1</v>
      </c>
      <c r="C747" s="5" t="str">
        <f t="shared" si="503"/>
        <v>CH</v>
      </c>
      <c r="D747" t="s">
        <v>458</v>
      </c>
      <c r="E747" s="5" t="s">
        <v>442</v>
      </c>
      <c r="F747" s="18">
        <f t="shared" ref="F747:K747" si="506">IFERROR(F$734/F$733,0)*F741</f>
        <v>0</v>
      </c>
      <c r="G747" s="18">
        <f t="shared" si="506"/>
        <v>0</v>
      </c>
      <c r="H747" s="18">
        <f t="shared" si="506"/>
        <v>0</v>
      </c>
      <c r="I747" s="18">
        <f t="shared" si="506"/>
        <v>0</v>
      </c>
      <c r="J747" s="18">
        <f t="shared" si="506"/>
        <v>4.3315048371316044E-3</v>
      </c>
      <c r="K747" s="18">
        <f t="shared" si="506"/>
        <v>8.4639883610887322E-3</v>
      </c>
    </row>
    <row r="748" spans="2:13" x14ac:dyDescent="0.35">
      <c r="B748" s="5" t="str">
        <f t="shared" si="502"/>
        <v>SPS1</v>
      </c>
      <c r="C748" s="5" t="str">
        <f t="shared" si="503"/>
        <v>CH</v>
      </c>
      <c r="D748" t="s">
        <v>459</v>
      </c>
      <c r="E748" s="5" t="s">
        <v>442</v>
      </c>
      <c r="F748" s="18">
        <f t="shared" ref="F748:K748" si="507">IFERROR(F$734/F$733,0)*F742</f>
        <v>0</v>
      </c>
      <c r="G748" s="18">
        <f t="shared" si="507"/>
        <v>0</v>
      </c>
      <c r="H748" s="18">
        <f t="shared" si="507"/>
        <v>0</v>
      </c>
      <c r="I748" s="18">
        <f t="shared" si="507"/>
        <v>0</v>
      </c>
      <c r="J748" s="18">
        <f t="shared" si="507"/>
        <v>5.3470088906350643E-3</v>
      </c>
      <c r="K748" s="18">
        <f t="shared" si="507"/>
        <v>0</v>
      </c>
    </row>
    <row r="749" spans="2:13" x14ac:dyDescent="0.35">
      <c r="B749" s="5" t="str">
        <f>B745</f>
        <v>SPS1</v>
      </c>
      <c r="C749" s="5" t="str">
        <f>C745</f>
        <v>CH</v>
      </c>
      <c r="D749" t="s">
        <v>936</v>
      </c>
      <c r="E749" s="5" t="s">
        <v>442</v>
      </c>
      <c r="F749" s="18">
        <f>IFERROR(F$735/F$733,0)*F737</f>
        <v>0</v>
      </c>
      <c r="G749" s="18">
        <f t="shared" ref="G749:K749" si="508">IFERROR(G$735/G$733,0)*G737</f>
        <v>0</v>
      </c>
      <c r="H749" s="18">
        <f t="shared" si="508"/>
        <v>0</v>
      </c>
      <c r="I749" s="18">
        <f t="shared" si="508"/>
        <v>0</v>
      </c>
      <c r="J749" s="18">
        <f t="shared" si="508"/>
        <v>3.4110499919774648E-6</v>
      </c>
      <c r="K749" s="18">
        <f t="shared" si="508"/>
        <v>2.4049651597160255E-6</v>
      </c>
    </row>
    <row r="750" spans="2:13" x14ac:dyDescent="0.35">
      <c r="B750" s="5" t="str">
        <f>B749</f>
        <v>SPS1</v>
      </c>
      <c r="C750" s="5" t="str">
        <f>C749</f>
        <v>CH</v>
      </c>
      <c r="D750" t="s">
        <v>460</v>
      </c>
      <c r="E750" s="5" t="s">
        <v>442</v>
      </c>
      <c r="F750" s="18">
        <f t="shared" ref="F750:K750" si="509">IFERROR(F$735/F$733,0)*F738</f>
        <v>0</v>
      </c>
      <c r="G750" s="18">
        <f t="shared" si="509"/>
        <v>0</v>
      </c>
      <c r="H750" s="18">
        <f t="shared" si="509"/>
        <v>0</v>
      </c>
      <c r="I750" s="18">
        <f t="shared" si="509"/>
        <v>0</v>
      </c>
      <c r="J750" s="18">
        <f t="shared" si="509"/>
        <v>3.4110499919774648E-6</v>
      </c>
      <c r="K750" s="18">
        <f t="shared" si="509"/>
        <v>2.4049651597160255E-6</v>
      </c>
    </row>
    <row r="751" spans="2:13" x14ac:dyDescent="0.35">
      <c r="B751" s="5" t="str">
        <f t="shared" ref="B751:B754" si="510">B750</f>
        <v>SPS1</v>
      </c>
      <c r="C751" s="5" t="str">
        <f t="shared" ref="C751:C754" si="511">C750</f>
        <v>CH</v>
      </c>
      <c r="D751" t="s">
        <v>937</v>
      </c>
      <c r="E751" s="5" t="s">
        <v>442</v>
      </c>
      <c r="F751" s="18">
        <f t="shared" ref="F751:K751" si="512">IFERROR(F$735/F$733,0)*F739</f>
        <v>0</v>
      </c>
      <c r="G751" s="18">
        <f t="shared" si="512"/>
        <v>0</v>
      </c>
      <c r="H751" s="18">
        <f t="shared" si="512"/>
        <v>0</v>
      </c>
      <c r="I751" s="18">
        <f t="shared" si="512"/>
        <v>0</v>
      </c>
      <c r="J751" s="18">
        <f t="shared" si="512"/>
        <v>1.682276734576707E-2</v>
      </c>
      <c r="K751" s="18">
        <f t="shared" si="512"/>
        <v>4.1815316300160459E-3</v>
      </c>
    </row>
    <row r="752" spans="2:13" x14ac:dyDescent="0.35">
      <c r="B752" s="5" t="str">
        <f t="shared" si="510"/>
        <v>SPS1</v>
      </c>
      <c r="C752" s="5" t="str">
        <f t="shared" si="511"/>
        <v>CH</v>
      </c>
      <c r="D752" t="s">
        <v>461</v>
      </c>
      <c r="E752" s="5" t="s">
        <v>442</v>
      </c>
      <c r="F752" s="18">
        <f t="shared" ref="F752:K752" si="513">IFERROR(F$735/F$733,0)*F740</f>
        <v>0</v>
      </c>
      <c r="G752" s="18">
        <f t="shared" si="513"/>
        <v>0</v>
      </c>
      <c r="H752" s="18">
        <f t="shared" si="513"/>
        <v>0</v>
      </c>
      <c r="I752" s="18">
        <f t="shared" si="513"/>
        <v>0</v>
      </c>
      <c r="J752" s="18">
        <f t="shared" si="513"/>
        <v>1.3713789109902008E-2</v>
      </c>
      <c r="K752" s="18">
        <f t="shared" si="513"/>
        <v>6.9866045950567432E-4</v>
      </c>
    </row>
    <row r="753" spans="2:13" x14ac:dyDescent="0.35">
      <c r="B753" s="5" t="str">
        <f t="shared" si="510"/>
        <v>SPS1</v>
      </c>
      <c r="C753" s="5" t="str">
        <f t="shared" si="511"/>
        <v>CH</v>
      </c>
      <c r="D753" t="s">
        <v>462</v>
      </c>
      <c r="E753" s="5" t="s">
        <v>442</v>
      </c>
      <c r="F753" s="18">
        <f t="shared" ref="F753:K753" si="514">IFERROR(F$735/F$733,0)*F741</f>
        <v>0</v>
      </c>
      <c r="G753" s="18">
        <f t="shared" si="514"/>
        <v>0</v>
      </c>
      <c r="H753" s="18">
        <f t="shared" si="514"/>
        <v>0</v>
      </c>
      <c r="I753" s="18">
        <f t="shared" si="514"/>
        <v>0</v>
      </c>
      <c r="J753" s="18">
        <f t="shared" si="514"/>
        <v>1.3913865957075858E-3</v>
      </c>
      <c r="K753" s="18">
        <f t="shared" si="514"/>
        <v>3.4828711705103717E-3</v>
      </c>
    </row>
    <row r="754" spans="2:13" x14ac:dyDescent="0.35">
      <c r="B754" s="5" t="str">
        <f t="shared" si="510"/>
        <v>SPS1</v>
      </c>
      <c r="C754" s="5" t="str">
        <f t="shared" si="511"/>
        <v>CH</v>
      </c>
      <c r="D754" t="s">
        <v>463</v>
      </c>
      <c r="E754" s="5" t="s">
        <v>442</v>
      </c>
      <c r="F754" s="18">
        <f t="shared" ref="F754:K754" si="515">IFERROR(F$735/F$733,0)*F742</f>
        <v>0</v>
      </c>
      <c r="G754" s="18">
        <f t="shared" si="515"/>
        <v>0</v>
      </c>
      <c r="H754" s="18">
        <f t="shared" si="515"/>
        <v>0</v>
      </c>
      <c r="I754" s="18">
        <f t="shared" si="515"/>
        <v>0</v>
      </c>
      <c r="J754" s="18">
        <f t="shared" si="515"/>
        <v>1.717591640157477E-3</v>
      </c>
      <c r="K754" s="18">
        <f t="shared" si="515"/>
        <v>0</v>
      </c>
    </row>
    <row r="755" spans="2:13" x14ac:dyDescent="0.35">
      <c r="B755" s="5" t="str">
        <f>B751</f>
        <v>SPS1</v>
      </c>
      <c r="C755" s="5" t="str">
        <f>C751</f>
        <v>CH</v>
      </c>
      <c r="D755" t="s">
        <v>938</v>
      </c>
      <c r="E755" s="5" t="s">
        <v>442</v>
      </c>
      <c r="F755" s="18">
        <f>IFERROR(F$736/F$733,0)*F737</f>
        <v>0</v>
      </c>
      <c r="G755" s="18">
        <f t="shared" ref="G755:K755" si="516">IFERROR(G$736/G$733,0)*G737</f>
        <v>0</v>
      </c>
      <c r="H755" s="18">
        <f t="shared" si="516"/>
        <v>0</v>
      </c>
      <c r="I755" s="18">
        <f t="shared" si="516"/>
        <v>0</v>
      </c>
      <c r="J755" s="18">
        <f t="shared" si="516"/>
        <v>2.0849675278846628E-11</v>
      </c>
      <c r="K755" s="18">
        <f t="shared" si="516"/>
        <v>1.3303967029813661E-11</v>
      </c>
    </row>
    <row r="756" spans="2:13" x14ac:dyDescent="0.35">
      <c r="B756" s="5" t="str">
        <f>B755</f>
        <v>SPS1</v>
      </c>
      <c r="C756" s="5" t="str">
        <f>C755</f>
        <v>CH</v>
      </c>
      <c r="D756" t="s">
        <v>464</v>
      </c>
      <c r="E756" s="5" t="s">
        <v>442</v>
      </c>
      <c r="F756" s="18">
        <f t="shared" ref="F756:K756" si="517">IFERROR(F$736/F$733,0)*F738</f>
        <v>0</v>
      </c>
      <c r="G756" s="18">
        <f t="shared" si="517"/>
        <v>0</v>
      </c>
      <c r="H756" s="18">
        <f t="shared" si="517"/>
        <v>0</v>
      </c>
      <c r="I756" s="18">
        <f t="shared" si="517"/>
        <v>0</v>
      </c>
      <c r="J756" s="18">
        <f t="shared" si="517"/>
        <v>2.0849675278846628E-11</v>
      </c>
      <c r="K756" s="18">
        <f t="shared" si="517"/>
        <v>1.3303967029813661E-11</v>
      </c>
    </row>
    <row r="757" spans="2:13" x14ac:dyDescent="0.35">
      <c r="B757" s="5" t="str">
        <f t="shared" ref="B757:B760" si="518">B756</f>
        <v>SPS1</v>
      </c>
      <c r="C757" s="5" t="str">
        <f t="shared" ref="C757:C760" si="519">C756</f>
        <v>CH</v>
      </c>
      <c r="D757" t="s">
        <v>939</v>
      </c>
      <c r="E757" s="5" t="s">
        <v>442</v>
      </c>
      <c r="F757" s="18">
        <f t="shared" ref="F757:K757" si="520">IFERROR(F$736/F$733,0)*F739</f>
        <v>0</v>
      </c>
      <c r="G757" s="18">
        <f t="shared" si="520"/>
        <v>0</v>
      </c>
      <c r="H757" s="18">
        <f t="shared" si="520"/>
        <v>0</v>
      </c>
      <c r="I757" s="18">
        <f t="shared" si="520"/>
        <v>0</v>
      </c>
      <c r="J757" s="18">
        <f t="shared" si="520"/>
        <v>1.0282735148290529E-7</v>
      </c>
      <c r="K757" s="18">
        <f t="shared" si="520"/>
        <v>2.3131710958517695E-8</v>
      </c>
    </row>
    <row r="758" spans="2:13" x14ac:dyDescent="0.35">
      <c r="B758" s="5" t="str">
        <f t="shared" si="518"/>
        <v>SPS1</v>
      </c>
      <c r="C758" s="5" t="str">
        <f t="shared" si="519"/>
        <v>CH</v>
      </c>
      <c r="D758" t="s">
        <v>465</v>
      </c>
      <c r="E758" s="5" t="s">
        <v>442</v>
      </c>
      <c r="F758" s="18">
        <f t="shared" ref="F758:K758" si="521">IFERROR(F$736/F$733,0)*F740</f>
        <v>0</v>
      </c>
      <c r="G758" s="18">
        <f t="shared" si="521"/>
        <v>0</v>
      </c>
      <c r="H758" s="18">
        <f t="shared" si="521"/>
        <v>0</v>
      </c>
      <c r="I758" s="18">
        <f t="shared" si="521"/>
        <v>0</v>
      </c>
      <c r="J758" s="18">
        <f t="shared" si="521"/>
        <v>8.382405724235102E-8</v>
      </c>
      <c r="K758" s="18">
        <f t="shared" si="521"/>
        <v>3.8649024418280914E-9</v>
      </c>
    </row>
    <row r="759" spans="2:13" x14ac:dyDescent="0.35">
      <c r="B759" s="5" t="str">
        <f t="shared" si="518"/>
        <v>SPS1</v>
      </c>
      <c r="C759" s="5" t="str">
        <f t="shared" si="519"/>
        <v>CH</v>
      </c>
      <c r="D759" t="s">
        <v>466</v>
      </c>
      <c r="E759" s="5" t="s">
        <v>442</v>
      </c>
      <c r="F759" s="18">
        <f t="shared" ref="F759:K759" si="522">IFERROR(F$736/F$733,0)*F741</f>
        <v>0</v>
      </c>
      <c r="G759" s="18">
        <f t="shared" si="522"/>
        <v>0</v>
      </c>
      <c r="H759" s="18">
        <f t="shared" si="522"/>
        <v>0</v>
      </c>
      <c r="I759" s="18">
        <f t="shared" si="522"/>
        <v>0</v>
      </c>
      <c r="J759" s="18">
        <f t="shared" si="522"/>
        <v>8.5047005397376999E-9</v>
      </c>
      <c r="K759" s="18">
        <f t="shared" si="522"/>
        <v>1.9266808516689603E-8</v>
      </c>
    </row>
    <row r="760" spans="2:13" x14ac:dyDescent="0.35">
      <c r="B760" s="5" t="str">
        <f t="shared" si="518"/>
        <v>SPS1</v>
      </c>
      <c r="C760" s="5" t="str">
        <f t="shared" si="519"/>
        <v>CH</v>
      </c>
      <c r="D760" t="s">
        <v>467</v>
      </c>
      <c r="E760" s="5" t="s">
        <v>442</v>
      </c>
      <c r="F760" s="18">
        <f t="shared" ref="F760:K760" si="523">IFERROR(F$736/F$733,0)*F742</f>
        <v>0</v>
      </c>
      <c r="G760" s="18">
        <f t="shared" si="523"/>
        <v>0</v>
      </c>
      <c r="H760" s="18">
        <f t="shared" si="523"/>
        <v>0</v>
      </c>
      <c r="I760" s="18">
        <f t="shared" si="523"/>
        <v>0</v>
      </c>
      <c r="J760" s="18">
        <f t="shared" si="523"/>
        <v>1.0498593700816559E-8</v>
      </c>
      <c r="K760" s="18">
        <f t="shared" si="523"/>
        <v>0</v>
      </c>
    </row>
    <row r="761" spans="2:13" x14ac:dyDescent="0.35">
      <c r="B761" s="9" t="str">
        <f t="shared" ref="B761" si="524">B760</f>
        <v>SPS1</v>
      </c>
      <c r="C761" s="9" t="str">
        <f t="shared" ref="C761:C775" si="525">C760</f>
        <v>CH</v>
      </c>
      <c r="D761" s="2" t="s">
        <v>496</v>
      </c>
      <c r="E761" s="9" t="s">
        <v>8</v>
      </c>
      <c r="F761" s="17">
        <f t="shared" ref="F761:K761" si="526">F762+F766+F776+F787+F789+F801+F803+F805+F809+F811+F813</f>
        <v>142.21764061393219</v>
      </c>
      <c r="G761" s="17">
        <f t="shared" si="526"/>
        <v>141.14238588847678</v>
      </c>
      <c r="H761" s="17">
        <f t="shared" si="526"/>
        <v>142.16158944438953</v>
      </c>
      <c r="I761" s="17">
        <f t="shared" si="526"/>
        <v>140.00454920594322</v>
      </c>
      <c r="J761" s="17">
        <f t="shared" si="526"/>
        <v>130.94849675869108</v>
      </c>
      <c r="K761" s="17">
        <f t="shared" si="526"/>
        <v>132.13272018056247</v>
      </c>
    </row>
    <row r="762" spans="2:13" x14ac:dyDescent="0.35">
      <c r="B762" s="5" t="str">
        <f>B761</f>
        <v>SPS1</v>
      </c>
      <c r="C762" s="5" t="str">
        <f t="shared" si="525"/>
        <v>CH</v>
      </c>
      <c r="D762" t="s">
        <v>940</v>
      </c>
      <c r="E762" t="s">
        <v>8</v>
      </c>
      <c r="F762" s="18">
        <f>[1]Industry!B$11</f>
        <v>60.070046307347752</v>
      </c>
      <c r="G762" s="18">
        <f>[1]Industry!C$11</f>
        <v>62.576431600677672</v>
      </c>
      <c r="H762" s="18">
        <f>[1]Industry!D$11</f>
        <v>63.899670446857314</v>
      </c>
      <c r="I762" s="18">
        <f>[1]Industry!E$11</f>
        <v>65.69181779831024</v>
      </c>
      <c r="J762" s="18">
        <f>[1]Industry!F$11</f>
        <v>64.139614547318658</v>
      </c>
      <c r="K762" s="18">
        <f>[1]Industry!G$11</f>
        <v>67.491703806417249</v>
      </c>
    </row>
    <row r="763" spans="2:13" x14ac:dyDescent="0.35">
      <c r="B763" s="5" t="str">
        <f t="shared" ref="B763:B775" si="527">B762</f>
        <v>SPS1</v>
      </c>
      <c r="C763" s="5" t="str">
        <f t="shared" si="525"/>
        <v>CH</v>
      </c>
      <c r="D763" t="s">
        <v>758</v>
      </c>
      <c r="E763" t="s">
        <v>8</v>
      </c>
      <c r="F763" s="1">
        <f t="shared" ref="F763:J763" si="528">F762-F764-F765</f>
        <v>11.646963440263811</v>
      </c>
      <c r="G763" s="1">
        <f t="shared" si="528"/>
        <v>12.258984249865193</v>
      </c>
      <c r="H763" s="1">
        <f t="shared" si="528"/>
        <v>12.249241099766628</v>
      </c>
      <c r="I763" s="1">
        <f t="shared" si="528"/>
        <v>12.23304136477158</v>
      </c>
      <c r="J763" s="1">
        <f t="shared" si="528"/>
        <v>12.200767871084828</v>
      </c>
      <c r="K763" s="1">
        <f>K762-K764-K765</f>
        <v>12.168663764605007</v>
      </c>
      <c r="L763" s="1"/>
      <c r="M763" s="1"/>
    </row>
    <row r="764" spans="2:13" x14ac:dyDescent="0.35">
      <c r="B764" s="5" t="str">
        <f t="shared" si="527"/>
        <v>SPS1</v>
      </c>
      <c r="C764" s="5" t="str">
        <f t="shared" si="525"/>
        <v>CH</v>
      </c>
      <c r="D764" t="s">
        <v>721</v>
      </c>
      <c r="E764" t="s">
        <v>8</v>
      </c>
      <c r="F764" s="1" cm="1">
        <f t="array" ref="F764">SUMPRODUCT(([1]OUT_FinalEnergyCons!$B$4:$B$10000="Var_Fin")*1, ([1]OUT_FinalEnergyCons!$C$4:$C$10000="ITOT_ELC")*1, (ISNUMBER(SEARCH("ITOT-SWHELCHP",[1]OUT_FinalEnergyCons!$A$4:$A$10000)))*1,[1]OUT_FinalEnergyCons!D$4:D$10000)</f>
        <v>0.35968521491294514</v>
      </c>
      <c r="G764" s="1" cm="1">
        <f t="array" ref="G764">SUMPRODUCT(([1]OUT_FinalEnergyCons!$B$4:$B$10000="Var_Fin")*1, ([1]OUT_FinalEnergyCons!$C$4:$C$10000="ITOT_ELC")*1, (ISNUMBER(SEARCH("ITOT-SWHELCHP",[1]OUT_FinalEnergyCons!$A$4:$A$10000)))*1,[1]OUT_FinalEnergyCons!E$4:E$10000)</f>
        <v>0.45106781608317281</v>
      </c>
      <c r="H764" s="1" cm="1">
        <f t="array" ref="H764">SUMPRODUCT(([1]OUT_FinalEnergyCons!$B$4:$B$10000="Var_Fin")*1, ([1]OUT_FinalEnergyCons!$C$4:$C$10000="ITOT_ELC")*1, (ISNUMBER(SEARCH("ITOT-SWHELCHP",[1]OUT_FinalEnergyCons!$A$4:$A$10000)))*1,[1]OUT_FinalEnergyCons!F$4:F$10000)</f>
        <v>0.53609427568149859</v>
      </c>
      <c r="I764" s="1" cm="1">
        <f t="array" ref="I764">SUMPRODUCT(([1]OUT_FinalEnergyCons!$B$4:$B$10000="Var_Fin")*1, ([1]OUT_FinalEnergyCons!$C$4:$C$10000="ITOT_ELC")*1, (ISNUMBER(SEARCH("ITOT-SWHELCHP",[1]OUT_FinalEnergyCons!$A$4:$A$10000)))*1,[1]OUT_FinalEnergyCons!G$4:G$10000)</f>
        <v>1.813082481703459</v>
      </c>
      <c r="J764" s="1" cm="1">
        <f t="array" ref="J764">SUMPRODUCT(([1]OUT_FinalEnergyCons!$B$4:$B$10000="Var_Fin")*1, ([1]OUT_FinalEnergyCons!$C$4:$C$10000="ITOT_ELC")*1, (ISNUMBER(SEARCH("ITOT-SWHELCHP",[1]OUT_FinalEnergyCons!$A$4:$A$10000)))*1,[1]OUT_FinalEnergyCons!H$4:H$10000)</f>
        <v>1.746160747831339</v>
      </c>
      <c r="K764" s="1" cm="1">
        <f t="array" ref="K764">SUMPRODUCT(([1]OUT_FinalEnergyCons!$B$4:$B$10000="Var_Fin")*1, ([1]OUT_FinalEnergyCons!$C$4:$C$10000="ITOT_ELC")*1, (ISNUMBER(SEARCH("ITOT-SWHELCHP",[1]OUT_FinalEnergyCons!$A$4:$A$10000)))*1,[1]OUT_FinalEnergyCons!I$4:I$10000)</f>
        <v>1.6840046721679172</v>
      </c>
    </row>
    <row r="765" spans="2:13" x14ac:dyDescent="0.35">
      <c r="B765" s="5" t="str">
        <f t="shared" si="527"/>
        <v>SPS1</v>
      </c>
      <c r="C765" s="5" t="str">
        <f t="shared" si="525"/>
        <v>CH</v>
      </c>
      <c r="D765" t="s">
        <v>468</v>
      </c>
      <c r="E765" t="s">
        <v>8</v>
      </c>
      <c r="F765" s="1">
        <f>[1]Industry!B$11-[1]Industry!B$33</f>
        <v>48.063397652170998</v>
      </c>
      <c r="G765" s="1">
        <f>[1]Industry!C$11-[1]Industry!C$33</f>
        <v>49.866379534729305</v>
      </c>
      <c r="H765" s="1">
        <f>[1]Industry!D$11-[1]Industry!D$33</f>
        <v>51.114335071409187</v>
      </c>
      <c r="I765" s="1">
        <f>[1]Industry!E$11-[1]Industry!E$33</f>
        <v>51.645693951835199</v>
      </c>
      <c r="J765" s="1">
        <f>[1]Industry!F$11-[1]Industry!F$33</f>
        <v>50.19268592840249</v>
      </c>
      <c r="K765" s="1">
        <f>[1]Industry!G$11-[1]Industry!G$33</f>
        <v>53.639035369644326</v>
      </c>
    </row>
    <row r="766" spans="2:13" x14ac:dyDescent="0.35">
      <c r="B766" s="5" t="str">
        <f t="shared" si="527"/>
        <v>SPS1</v>
      </c>
      <c r="C766" s="5" t="str">
        <f t="shared" si="525"/>
        <v>CH</v>
      </c>
      <c r="D766" t="s">
        <v>469</v>
      </c>
      <c r="E766" t="s">
        <v>8</v>
      </c>
      <c r="F766" s="1">
        <f>SUM(F769,F774)</f>
        <v>11.627844170318058</v>
      </c>
      <c r="G766" s="1">
        <f t="shared" ref="G766:K766" si="529">SUM(G769,G774)</f>
        <v>10.440154981574191</v>
      </c>
      <c r="H766" s="1">
        <f t="shared" si="529"/>
        <v>7.9991931711705178</v>
      </c>
      <c r="I766" s="1">
        <f t="shared" si="529"/>
        <v>6.3288125862721909</v>
      </c>
      <c r="J766" s="1">
        <f t="shared" si="529"/>
        <v>2.9754799414591928</v>
      </c>
      <c r="K766" s="1">
        <f t="shared" si="529"/>
        <v>0.22493045138776546</v>
      </c>
    </row>
    <row r="767" spans="2:13" x14ac:dyDescent="0.35">
      <c r="B767" s="5" t="str">
        <f t="shared" si="527"/>
        <v>SPS1</v>
      </c>
      <c r="C767" s="5" t="str">
        <f t="shared" si="525"/>
        <v>CH</v>
      </c>
      <c r="D767" t="s">
        <v>470</v>
      </c>
      <c r="E767" t="s">
        <v>8</v>
      </c>
      <c r="F767" s="1">
        <f>SUM(F771,F775)</f>
        <v>8.897830868508203</v>
      </c>
      <c r="G767" s="1">
        <f t="shared" ref="G767:K767" si="530">SUM(G771,G775)</f>
        <v>8.1046725985809154</v>
      </c>
      <c r="H767" s="1">
        <f t="shared" si="530"/>
        <v>7.9973847253549311</v>
      </c>
      <c r="I767" s="1">
        <f t="shared" si="530"/>
        <v>6.3285963652941106</v>
      </c>
      <c r="J767" s="1">
        <f t="shared" si="530"/>
        <v>2.9746750757930913</v>
      </c>
      <c r="K767" s="1">
        <f t="shared" si="530"/>
        <v>0.22493045138776546</v>
      </c>
    </row>
    <row r="768" spans="2:13" x14ac:dyDescent="0.35">
      <c r="B768" s="5" t="str">
        <f t="shared" si="527"/>
        <v>SPS1</v>
      </c>
      <c r="C768" s="5" t="str">
        <f t="shared" si="525"/>
        <v>CH</v>
      </c>
      <c r="D768" t="s">
        <v>471</v>
      </c>
      <c r="E768" t="s">
        <v>8</v>
      </c>
      <c r="F768" s="1">
        <f>F773</f>
        <v>2.7300133018098549</v>
      </c>
      <c r="G768" s="1">
        <f t="shared" ref="G768:K768" si="531">G773</f>
        <v>2.3354823829932756</v>
      </c>
      <c r="H768" s="1">
        <f t="shared" si="531"/>
        <v>1.8084458155864125E-3</v>
      </c>
      <c r="I768" s="1">
        <f t="shared" si="531"/>
        <v>2.1622097807986963E-4</v>
      </c>
      <c r="J768" s="1">
        <f t="shared" si="531"/>
        <v>8.0486566610165798E-4</v>
      </c>
      <c r="K768" s="1">
        <f t="shared" si="531"/>
        <v>0</v>
      </c>
    </row>
    <row r="769" spans="2:11" x14ac:dyDescent="0.35">
      <c r="B769" s="5" t="str">
        <f t="shared" si="527"/>
        <v>SPS1</v>
      </c>
      <c r="C769" s="5" t="str">
        <f t="shared" si="525"/>
        <v>CH</v>
      </c>
      <c r="D769" t="s">
        <v>941</v>
      </c>
      <c r="E769" t="s">
        <v>8</v>
      </c>
      <c r="F769" s="1">
        <f>SUM(F770,F772)</f>
        <v>11.627844170318058</v>
      </c>
      <c r="G769" s="1">
        <f t="shared" ref="G769:K769" si="532">SUM(G770,G772)</f>
        <v>10.440154981574191</v>
      </c>
      <c r="H769" s="1">
        <f t="shared" si="532"/>
        <v>7.9991359065844687</v>
      </c>
      <c r="I769" s="1">
        <f t="shared" si="532"/>
        <v>6.1248147332566694</v>
      </c>
      <c r="J769" s="1">
        <f t="shared" si="532"/>
        <v>2.750534976443479</v>
      </c>
      <c r="K769" s="1">
        <f t="shared" si="532"/>
        <v>5.8241933183548583E-6</v>
      </c>
    </row>
    <row r="770" spans="2:11" x14ac:dyDescent="0.35">
      <c r="B770" s="5" t="str">
        <f t="shared" si="527"/>
        <v>SPS1</v>
      </c>
      <c r="C770" s="5" t="str">
        <f t="shared" si="525"/>
        <v>CH</v>
      </c>
      <c r="D770" t="s">
        <v>525</v>
      </c>
      <c r="E770" t="s">
        <v>8</v>
      </c>
      <c r="F770" s="1">
        <f>[1]Industry!B$34</f>
        <v>8.897830868508203</v>
      </c>
      <c r="G770" s="1">
        <f>[1]Industry!C$34</f>
        <v>8.1046725985809154</v>
      </c>
      <c r="H770" s="1">
        <f>[1]Industry!D$34</f>
        <v>7.997327460768882</v>
      </c>
      <c r="I770" s="1">
        <f>[1]Industry!E$34</f>
        <v>6.1245985122785891</v>
      </c>
      <c r="J770" s="1">
        <f>[1]Industry!F$34</f>
        <v>2.7497301107773775</v>
      </c>
      <c r="K770" s="1">
        <f>[1]Industry!G$34</f>
        <v>5.8241933183548583E-6</v>
      </c>
    </row>
    <row r="771" spans="2:11" x14ac:dyDescent="0.35">
      <c r="B771" s="5" t="str">
        <f t="shared" si="527"/>
        <v>SPS1</v>
      </c>
      <c r="C771" s="5" t="str">
        <f t="shared" si="525"/>
        <v>CH</v>
      </c>
      <c r="D771" t="s">
        <v>526</v>
      </c>
      <c r="E771" t="s">
        <v>8</v>
      </c>
      <c r="F771" s="1">
        <f>F770</f>
        <v>8.897830868508203</v>
      </c>
      <c r="G771" s="1">
        <f t="shared" ref="G771:K771" si="533">G770</f>
        <v>8.1046725985809154</v>
      </c>
      <c r="H771" s="1">
        <f t="shared" si="533"/>
        <v>7.997327460768882</v>
      </c>
      <c r="I771" s="1">
        <f t="shared" si="533"/>
        <v>6.1245985122785891</v>
      </c>
      <c r="J771" s="1">
        <f t="shared" si="533"/>
        <v>2.7497301107773775</v>
      </c>
      <c r="K771" s="1">
        <f t="shared" si="533"/>
        <v>5.8241933183548583E-6</v>
      </c>
    </row>
    <row r="772" spans="2:11" x14ac:dyDescent="0.35">
      <c r="B772" s="5" t="str">
        <f t="shared" si="527"/>
        <v>SPS1</v>
      </c>
      <c r="C772" s="5" t="str">
        <f t="shared" si="525"/>
        <v>CH</v>
      </c>
      <c r="D772" t="s">
        <v>527</v>
      </c>
      <c r="E772" t="s">
        <v>8</v>
      </c>
      <c r="F772" s="1">
        <f>[1]Industry!B$35</f>
        <v>2.7300133018098549</v>
      </c>
      <c r="G772" s="1">
        <f>[1]Industry!C$35</f>
        <v>2.3354823829932756</v>
      </c>
      <c r="H772" s="1">
        <f>[1]Industry!D$35</f>
        <v>1.8084458155864125E-3</v>
      </c>
      <c r="I772" s="1">
        <f>[1]Industry!E$35</f>
        <v>2.1622097807986963E-4</v>
      </c>
      <c r="J772" s="1">
        <f>[1]Industry!F$35</f>
        <v>8.0486566610165798E-4</v>
      </c>
      <c r="K772" s="1">
        <f>[1]Industry!G$35</f>
        <v>0</v>
      </c>
    </row>
    <row r="773" spans="2:11" x14ac:dyDescent="0.35">
      <c r="B773" s="5" t="str">
        <f t="shared" si="527"/>
        <v>SPS1</v>
      </c>
      <c r="C773" s="5" t="str">
        <f t="shared" si="525"/>
        <v>CH</v>
      </c>
      <c r="D773" t="s">
        <v>944</v>
      </c>
      <c r="E773" t="s">
        <v>8</v>
      </c>
      <c r="F773" s="1">
        <f>F772</f>
        <v>2.7300133018098549</v>
      </c>
      <c r="G773" s="1">
        <f t="shared" ref="G773:K773" si="534">G772</f>
        <v>2.3354823829932756</v>
      </c>
      <c r="H773" s="1">
        <f t="shared" si="534"/>
        <v>1.8084458155864125E-3</v>
      </c>
      <c r="I773" s="1">
        <f t="shared" si="534"/>
        <v>2.1622097807986963E-4</v>
      </c>
      <c r="J773" s="1">
        <f t="shared" si="534"/>
        <v>8.0486566610165798E-4</v>
      </c>
      <c r="K773" s="1">
        <f t="shared" si="534"/>
        <v>0</v>
      </c>
    </row>
    <row r="774" spans="2:11" x14ac:dyDescent="0.35">
      <c r="B774" s="5" t="str">
        <f t="shared" si="527"/>
        <v>SPS1</v>
      </c>
      <c r="C774" s="5" t="str">
        <f t="shared" si="525"/>
        <v>CH</v>
      </c>
      <c r="D774" t="s">
        <v>942</v>
      </c>
      <c r="E774" t="s">
        <v>8</v>
      </c>
      <c r="F774" s="1">
        <f>[1]Industry!B$36</f>
        <v>0</v>
      </c>
      <c r="G774" s="1">
        <f>[1]Industry!C$36</f>
        <v>0</v>
      </c>
      <c r="H774" s="1">
        <f>[1]Industry!D$36</f>
        <v>5.7264586049387586E-5</v>
      </c>
      <c r="I774" s="1">
        <f>[1]Industry!E$36</f>
        <v>0.2039978530155212</v>
      </c>
      <c r="J774" s="1">
        <f>[1]Industry!F$36</f>
        <v>0.22494496501571368</v>
      </c>
      <c r="K774" s="1">
        <f>[1]Industry!G$36</f>
        <v>0.22492462719444711</v>
      </c>
    </row>
    <row r="775" spans="2:11" x14ac:dyDescent="0.35">
      <c r="B775" s="5" t="str">
        <f t="shared" si="527"/>
        <v>SPS1</v>
      </c>
      <c r="C775" s="5" t="str">
        <f t="shared" si="525"/>
        <v>CH</v>
      </c>
      <c r="D775" t="s">
        <v>943</v>
      </c>
      <c r="E775" t="s">
        <v>8</v>
      </c>
      <c r="F775" s="1">
        <f>F774</f>
        <v>0</v>
      </c>
      <c r="G775" s="1">
        <f t="shared" ref="G775:K775" si="535">G774</f>
        <v>0</v>
      </c>
      <c r="H775" s="1">
        <f t="shared" si="535"/>
        <v>5.7264586049387586E-5</v>
      </c>
      <c r="I775" s="1">
        <f t="shared" si="535"/>
        <v>0.2039978530155212</v>
      </c>
      <c r="J775" s="1">
        <f t="shared" si="535"/>
        <v>0.22494496501571368</v>
      </c>
      <c r="K775" s="1">
        <f t="shared" si="535"/>
        <v>0.22492462719444711</v>
      </c>
    </row>
    <row r="776" spans="2:11" x14ac:dyDescent="0.35">
      <c r="B776" s="5" t="str">
        <f t="shared" ref="B776:B777" si="536">B775</f>
        <v>SPS1</v>
      </c>
      <c r="C776" s="5" t="str">
        <f t="shared" ref="C776:C777" si="537">C775</f>
        <v>CH</v>
      </c>
      <c r="D776" t="s">
        <v>472</v>
      </c>
      <c r="E776" t="s">
        <v>8</v>
      </c>
      <c r="F776" s="1">
        <f>SUM([1]Industry!B$37:B$39)</f>
        <v>35.989114253857757</v>
      </c>
      <c r="G776" s="1">
        <f>SUM([1]Industry!C$37:C$39)</f>
        <v>30.559697452955884</v>
      </c>
      <c r="H776" s="1">
        <f>SUM([1]Industry!D$37:D$39)</f>
        <v>39.009720767973981</v>
      </c>
      <c r="I776" s="1">
        <f>SUM([1]Industry!E$37:E$39)</f>
        <v>33.484518750067572</v>
      </c>
      <c r="J776" s="1">
        <f>SUM([1]Industry!F$37:F$39)</f>
        <v>23.209394802202134</v>
      </c>
      <c r="K776" s="1">
        <f>SUM([1]Industry!G$37:G$39)</f>
        <v>12.959132187854062</v>
      </c>
    </row>
    <row r="777" spans="2:11" x14ac:dyDescent="0.35">
      <c r="B777" s="5" t="str">
        <f t="shared" si="536"/>
        <v>SPS1</v>
      </c>
      <c r="C777" s="5" t="str">
        <f t="shared" si="537"/>
        <v>CH</v>
      </c>
      <c r="D777" t="s">
        <v>678</v>
      </c>
      <c r="E777" t="s">
        <v>8</v>
      </c>
      <c r="F777" s="1">
        <f>SUM([1]Industry!B$37:B$38)-F778</f>
        <v>35.547317393024727</v>
      </c>
      <c r="G777" s="1">
        <f>SUM([1]Industry!C$37:C$38)-G778</f>
        <v>30.002755814765298</v>
      </c>
      <c r="H777" s="1">
        <f>SUM([1]Industry!D$37:D$38)-H778</f>
        <v>34.739327345443961</v>
      </c>
      <c r="I777" s="1">
        <f>SUM([1]Industry!E$37:E$38)-I778</f>
        <v>25.11228527465493</v>
      </c>
      <c r="J777" s="1">
        <f>SUM([1]Industry!F$37:F$38)-J778</f>
        <v>14.380088359481663</v>
      </c>
      <c r="K777" s="1">
        <f>SUM([1]Industry!G$37:G$38)-K778</f>
        <v>2.8186917594134147</v>
      </c>
    </row>
    <row r="778" spans="2:11" x14ac:dyDescent="0.35">
      <c r="B778" s="5" t="str">
        <f t="shared" ref="B778" si="538">B777</f>
        <v>SPS1</v>
      </c>
      <c r="C778" s="5" t="str">
        <f t="shared" ref="C778" si="539">C777</f>
        <v>CH</v>
      </c>
      <c r="D778" t="s">
        <v>722</v>
      </c>
      <c r="E778" t="s">
        <v>8</v>
      </c>
      <c r="F778" s="1" cm="1">
        <f t="array" ref="F778">SUMPRODUCT(([1]OUT_FinalEnergyCons!$B$4:$B$10000="Var_Fin")*1,  ([1]OUT_FinalEnergyCons!$C$4:$C$10000="Inga")*1,(ISNUMBER(SEARCH("ITOT-SWHNGAHP",[1]OUT_FinalEnergyCons!$A$4:$A$10000)))*1,[1]OUT_FinalEnergyCons!H$4:H$10000)</f>
        <v>5.0477197769420012E-3</v>
      </c>
      <c r="G778" s="1" cm="1">
        <f t="array" ref="G778">SUMPRODUCT(([1]OUT_FinalEnergyCons!$B$4:$B$10000="Var_Fin")*1,  ([1]OUT_FinalEnergyCons!$C$4:$C$10000="Inga")*1,(ISNUMBER(SEARCH("ITOT-SWHNGAHP",[1]OUT_FinalEnergyCons!$A$4:$A$10000)))*1,[1]OUT_FinalEnergyCons!I$4:I$10000)</f>
        <v>4.8705812841593858E-3</v>
      </c>
      <c r="H778" s="1" cm="1">
        <f t="array" ref="H778">SUMPRODUCT(([1]OUT_FinalEnergyCons!$B$4:$B$10000="Var_Fin")*1,  ([1]OUT_FinalEnergyCons!$C$4:$C$10000="Inga")*1,(ISNUMBER(SEARCH("ITOT-SWHNGAHP",[1]OUT_FinalEnergyCons!$A$4:$A$10000)))*1,[1]OUT_FinalEnergyCons!J$4:J$10000)</f>
        <v>0</v>
      </c>
      <c r="I778" s="1" cm="1">
        <f t="array" ref="I778">SUMPRODUCT(([1]OUT_FinalEnergyCons!$B$4:$B$10000="Var_Fin")*1,  ([1]OUT_FinalEnergyCons!$C$4:$C$10000="Inga")*1,(ISNUMBER(SEARCH("ITOT-SWHNGAHP",[1]OUT_FinalEnergyCons!$A$4:$A$10000)))*1,[1]OUT_FinalEnergyCons!K$4:K$10000)</f>
        <v>0</v>
      </c>
      <c r="J778" s="1" cm="1">
        <f t="array" ref="J778">SUMPRODUCT(([1]OUT_FinalEnergyCons!$B$4:$B$10000="Var_Fin")*1,  ([1]OUT_FinalEnergyCons!$C$4:$C$10000="Inga")*1,(ISNUMBER(SEARCH("ITOT-SWHNGAHP",[1]OUT_FinalEnergyCons!$A$4:$A$10000)))*1,[1]OUT_FinalEnergyCons!L$4:L$10000)</f>
        <v>0</v>
      </c>
      <c r="K778" s="1" cm="1">
        <f t="array" ref="K778">SUMPRODUCT(([1]OUT_FinalEnergyCons!$B$4:$B$10000="Var_Fin")*1,  ([1]OUT_FinalEnergyCons!$C$4:$C$10000="Inga")*1,(ISNUMBER(SEARCH("ITOT-SWHNGAHP",[1]OUT_FinalEnergyCons!$A$4:$A$10000)))*1,[1]OUT_FinalEnergyCons!M$4:M$10000)</f>
        <v>0</v>
      </c>
    </row>
    <row r="779" spans="2:11" x14ac:dyDescent="0.35">
      <c r="B779" s="5" t="str">
        <f>B777</f>
        <v>SPS1</v>
      </c>
      <c r="C779" s="5" t="str">
        <f>C777</f>
        <v>CH</v>
      </c>
      <c r="D779" t="s">
        <v>473</v>
      </c>
      <c r="E779" t="s">
        <v>8</v>
      </c>
      <c r="F779" s="1">
        <f t="shared" ref="F779:K779" si="540">F776-F777</f>
        <v>0.44179686083302983</v>
      </c>
      <c r="G779" s="1">
        <f t="shared" si="540"/>
        <v>0.55694163819058673</v>
      </c>
      <c r="H779" s="1">
        <f t="shared" si="540"/>
        <v>4.2703934225300202</v>
      </c>
      <c r="I779" s="1">
        <f t="shared" si="540"/>
        <v>8.3722334754126422</v>
      </c>
      <c r="J779" s="1">
        <f t="shared" si="540"/>
        <v>8.8293064427204708</v>
      </c>
      <c r="K779" s="1">
        <f t="shared" si="540"/>
        <v>10.140440428440646</v>
      </c>
    </row>
    <row r="780" spans="2:11" x14ac:dyDescent="0.35">
      <c r="B780" s="5" t="str">
        <f t="shared" ref="B780:B788" si="541">B779</f>
        <v>SPS1</v>
      </c>
      <c r="C780" s="5" t="str">
        <f t="shared" ref="C780:C788" si="542">C779</f>
        <v>CH</v>
      </c>
      <c r="D780" t="s">
        <v>945</v>
      </c>
      <c r="E780" t="s">
        <v>8</v>
      </c>
      <c r="F780" s="1">
        <f>[1]Industry!B$37</f>
        <v>35.240144615198915</v>
      </c>
      <c r="G780" s="1">
        <f>[1]Industry!C$37</f>
        <v>30.007577487890025</v>
      </c>
      <c r="H780" s="1">
        <f>[1]Industry!D$37</f>
        <v>32.012689477932085</v>
      </c>
      <c r="I780" s="1">
        <f>[1]Industry!E$37</f>
        <v>22.341750740771527</v>
      </c>
      <c r="J780" s="1">
        <f>[1]Industry!F$37</f>
        <v>11.925156450696917</v>
      </c>
      <c r="K780" s="1">
        <f>[1]Industry!G$37</f>
        <v>1.1865286650068663</v>
      </c>
    </row>
    <row r="781" spans="2:11" x14ac:dyDescent="0.35">
      <c r="B781" s="5" t="str">
        <f t="shared" si="541"/>
        <v>SPS1</v>
      </c>
      <c r="C781" s="5" t="str">
        <f t="shared" si="542"/>
        <v>CH</v>
      </c>
      <c r="D781" t="s">
        <v>679</v>
      </c>
      <c r="E781" t="s">
        <v>8</v>
      </c>
      <c r="F781" s="1">
        <f>[1]Industry!B$37*F777/SUM(F777:F778)</f>
        <v>35.235141224444128</v>
      </c>
      <c r="G781" s="1">
        <f>[1]Industry!C$37*G777/SUM(G777:G778)</f>
        <v>30.00270691454422</v>
      </c>
      <c r="H781" s="1">
        <f>[1]Industry!D$37*H777/SUM(H777:H778)</f>
        <v>32.012689477932085</v>
      </c>
      <c r="I781" s="1">
        <f>[1]Industry!E$37*I777/SUM(I777:I778)</f>
        <v>22.341750740771531</v>
      </c>
      <c r="J781" s="1">
        <f>[1]Industry!F$37*J777/SUM(J777:J778)</f>
        <v>11.925156450696917</v>
      </c>
      <c r="K781" s="1">
        <f>[1]Industry!G$37*K777/SUM(K777:K778)</f>
        <v>1.1865286650068663</v>
      </c>
    </row>
    <row r="782" spans="2:11" x14ac:dyDescent="0.35">
      <c r="B782" s="5" t="str">
        <f t="shared" ref="B782" si="543">B781</f>
        <v>SPS1</v>
      </c>
      <c r="C782" s="5" t="str">
        <f t="shared" ref="C782" si="544">C781</f>
        <v>CH</v>
      </c>
      <c r="D782" t="s">
        <v>723</v>
      </c>
      <c r="E782" t="s">
        <v>8</v>
      </c>
      <c r="F782" s="1">
        <f>F780-F781</f>
        <v>5.0033907547870626E-3</v>
      </c>
      <c r="G782" s="1">
        <f t="shared" ref="G782:K782" si="545">G780-G781</f>
        <v>4.8705733458049849E-3</v>
      </c>
      <c r="H782" s="1">
        <f t="shared" si="545"/>
        <v>0</v>
      </c>
      <c r="I782" s="1">
        <f t="shared" si="545"/>
        <v>0</v>
      </c>
      <c r="J782" s="1">
        <f t="shared" si="545"/>
        <v>0</v>
      </c>
      <c r="K782" s="1">
        <f t="shared" si="545"/>
        <v>0</v>
      </c>
    </row>
    <row r="783" spans="2:11" x14ac:dyDescent="0.35">
      <c r="B783" s="5" t="str">
        <f>B781</f>
        <v>SPS1</v>
      </c>
      <c r="C783" s="5" t="str">
        <f>C781</f>
        <v>CH</v>
      </c>
      <c r="D783" t="s">
        <v>946</v>
      </c>
      <c r="E783" t="s">
        <v>8</v>
      </c>
      <c r="F783" s="1">
        <f>SUM(F784:F786)</f>
        <v>0.74896963865884358</v>
      </c>
      <c r="G783" s="1">
        <f t="shared" ref="G783:K783" si="546">SUM(G784:G786)</f>
        <v>0.55211996506585725</v>
      </c>
      <c r="H783" s="1">
        <f t="shared" si="546"/>
        <v>6.9970312900418969</v>
      </c>
      <c r="I783" s="1">
        <f t="shared" si="546"/>
        <v>11.142768009296049</v>
      </c>
      <c r="J783" s="1">
        <f t="shared" si="546"/>
        <v>11.284238351505214</v>
      </c>
      <c r="K783" s="1">
        <f t="shared" si="546"/>
        <v>11.772603522847195</v>
      </c>
    </row>
    <row r="784" spans="2:11" x14ac:dyDescent="0.35">
      <c r="B784" s="5" t="str">
        <f t="shared" si="541"/>
        <v>SPS1</v>
      </c>
      <c r="C784" s="5" t="str">
        <f t="shared" si="542"/>
        <v>CH</v>
      </c>
      <c r="D784" t="s">
        <v>680</v>
      </c>
      <c r="E784" t="s">
        <v>8</v>
      </c>
      <c r="F784" s="1">
        <f>[1]Industry!B$38*F777/SUM(F777:F778)</f>
        <v>0.31217616858060382</v>
      </c>
      <c r="G784" s="1">
        <f>[1]Industry!C$38*G777/SUM(G777:G778)</f>
        <v>4.8900221076433665E-5</v>
      </c>
      <c r="H784" s="1">
        <f>[1]Industry!D$38*H777/SUM(H777:H778)</f>
        <v>2.7266378675118741</v>
      </c>
      <c r="I784" s="1">
        <f>[1]Industry!E$38*I777/SUM(I777:I778)</f>
        <v>2.7705345338834038</v>
      </c>
      <c r="J784" s="1">
        <f>[1]Industry!F$38*J777/SUM(J777:J778)</f>
        <v>2.454931908784745</v>
      </c>
      <c r="K784" s="1">
        <f>[1]Industry!G$38*K777/SUM(K777:K778)</f>
        <v>1.6321630944065484</v>
      </c>
    </row>
    <row r="785" spans="2:13" x14ac:dyDescent="0.35">
      <c r="B785" s="5" t="str">
        <f t="shared" ref="B785" si="547">B784</f>
        <v>SPS1</v>
      </c>
      <c r="C785" s="5" t="str">
        <f t="shared" ref="C785" si="548">C784</f>
        <v>CH</v>
      </c>
      <c r="D785" t="s">
        <v>724</v>
      </c>
      <c r="E785" t="s">
        <v>8</v>
      </c>
      <c r="F785" s="1">
        <f>[1]Industry!B$38-F784</f>
        <v>4.4329022148459352E-5</v>
      </c>
      <c r="G785" s="1">
        <f>[1]Industry!C$38-G784</f>
        <v>7.9383541644187979E-9</v>
      </c>
      <c r="H785" s="1">
        <f>[1]Industry!D$38-H784</f>
        <v>0</v>
      </c>
      <c r="I785" s="1">
        <f>[1]Industry!E$38-I784</f>
        <v>0</v>
      </c>
      <c r="J785" s="1">
        <f>[1]Industry!F$38-J784</f>
        <v>0</v>
      </c>
      <c r="K785" s="1">
        <f>[1]Industry!G$38-K784</f>
        <v>0</v>
      </c>
    </row>
    <row r="786" spans="2:13" x14ac:dyDescent="0.35">
      <c r="B786" s="5" t="str">
        <f>B784</f>
        <v>SPS1</v>
      </c>
      <c r="C786" s="5" t="str">
        <f>C784</f>
        <v>CH</v>
      </c>
      <c r="D786" t="s">
        <v>672</v>
      </c>
      <c r="E786" t="s">
        <v>8</v>
      </c>
      <c r="F786" s="1">
        <f>[1]Industry!B$39</f>
        <v>0.43674914105609136</v>
      </c>
      <c r="G786" s="1">
        <f>[1]Industry!C$39</f>
        <v>0.55207105690642666</v>
      </c>
      <c r="H786" s="1">
        <f>[1]Industry!D$39</f>
        <v>4.2703934225300229</v>
      </c>
      <c r="I786" s="1">
        <f>[1]Industry!E$39</f>
        <v>8.372233475412644</v>
      </c>
      <c r="J786" s="1">
        <f>[1]Industry!F$39</f>
        <v>8.8293064427204691</v>
      </c>
      <c r="K786" s="1">
        <f>[1]Industry!G$39</f>
        <v>10.140440428440646</v>
      </c>
    </row>
    <row r="787" spans="2:13" x14ac:dyDescent="0.35">
      <c r="B787" s="5" t="str">
        <f t="shared" si="541"/>
        <v>SPS1</v>
      </c>
      <c r="C787" s="5" t="str">
        <f t="shared" si="542"/>
        <v>CH</v>
      </c>
      <c r="D787" t="s">
        <v>947</v>
      </c>
      <c r="E787" t="s">
        <v>8</v>
      </c>
      <c r="F787" s="1">
        <f>[1]Industry!B$18</f>
        <v>3.5600271836583843</v>
      </c>
      <c r="G787" s="1">
        <f>[1]Industry!C$18</f>
        <v>3.4647231150722129</v>
      </c>
      <c r="H787" s="1">
        <f>[1]Industry!D$18</f>
        <v>1.106191130762066</v>
      </c>
      <c r="I787" s="1">
        <f>[1]Industry!E$18</f>
        <v>1.6777054979156893E-4</v>
      </c>
      <c r="J787" s="1">
        <f>[1]Industry!F$18</f>
        <v>6.4807298563390541E-4</v>
      </c>
      <c r="K787" s="1">
        <f>[1]Industry!G$18</f>
        <v>2.0141315688538322E-4</v>
      </c>
    </row>
    <row r="788" spans="2:13" x14ac:dyDescent="0.35">
      <c r="B788" s="5" t="str">
        <f t="shared" si="541"/>
        <v>SPS1</v>
      </c>
      <c r="C788" s="5" t="str">
        <f t="shared" si="542"/>
        <v>CH</v>
      </c>
      <c r="D788" t="s">
        <v>948</v>
      </c>
      <c r="E788" t="s">
        <v>8</v>
      </c>
      <c r="F788" s="1">
        <f>F787</f>
        <v>3.5600271836583843</v>
      </c>
      <c r="G788" s="1">
        <f t="shared" ref="G788:K788" si="549">G787</f>
        <v>3.4647231150722129</v>
      </c>
      <c r="H788" s="1">
        <f t="shared" si="549"/>
        <v>1.106191130762066</v>
      </c>
      <c r="I788" s="1">
        <f t="shared" si="549"/>
        <v>1.6777054979156893E-4</v>
      </c>
      <c r="J788" s="1">
        <f t="shared" si="549"/>
        <v>6.4807298563390541E-4</v>
      </c>
      <c r="K788" s="1">
        <f t="shared" si="549"/>
        <v>2.0141315688538322E-4</v>
      </c>
    </row>
    <row r="789" spans="2:13" x14ac:dyDescent="0.35">
      <c r="B789" s="5" t="str">
        <f t="shared" ref="B789:B790" si="550">B788</f>
        <v>SPS1</v>
      </c>
      <c r="C789" s="5" t="str">
        <f t="shared" ref="C789:C790" si="551">C788</f>
        <v>CH</v>
      </c>
      <c r="D789" t="s">
        <v>949</v>
      </c>
      <c r="E789" t="s">
        <v>8</v>
      </c>
      <c r="F789" s="1">
        <f>[1]Industry!B$19</f>
        <v>12.728656862289595</v>
      </c>
      <c r="G789" s="1">
        <f>[1]Industry!C$19</f>
        <v>13.638431533127164</v>
      </c>
      <c r="H789" s="1">
        <f>[1]Industry!D$19</f>
        <v>13.516205505323661</v>
      </c>
      <c r="I789" s="1">
        <f>[1]Industry!E$19</f>
        <v>15.25751123556223</v>
      </c>
      <c r="J789" s="1">
        <f>[1]Industry!F$19</f>
        <v>14.978590973983575</v>
      </c>
      <c r="K789" s="1">
        <f>[1]Industry!G$19</f>
        <v>19.699884886893091</v>
      </c>
    </row>
    <row r="790" spans="2:13" x14ac:dyDescent="0.35">
      <c r="B790" s="5" t="str">
        <f t="shared" si="550"/>
        <v>SPS1</v>
      </c>
      <c r="C790" s="5" t="str">
        <f t="shared" si="551"/>
        <v>CH</v>
      </c>
      <c r="D790" t="s">
        <v>950</v>
      </c>
      <c r="E790" t="s">
        <v>8</v>
      </c>
      <c r="F790" s="1">
        <f>SUM(F791:F799)</f>
        <v>4.2924709442804367</v>
      </c>
      <c r="G790" s="1">
        <f t="shared" ref="G790:K790" si="552">SUM(G791:G799)</f>
        <v>5.8496954128644347</v>
      </c>
      <c r="H790" s="1">
        <f t="shared" si="552"/>
        <v>6.0558392884950347</v>
      </c>
      <c r="I790" s="1">
        <f t="shared" si="552"/>
        <v>7.6032154126965388</v>
      </c>
      <c r="J790" s="1">
        <f t="shared" si="552"/>
        <v>8.6200753917032333</v>
      </c>
      <c r="K790" s="1">
        <f t="shared" si="552"/>
        <v>11.79475952709301</v>
      </c>
      <c r="M790" s="1"/>
    </row>
    <row r="791" spans="2:13" x14ac:dyDescent="0.35">
      <c r="B791" s="5" t="str">
        <f t="shared" ref="B791:B800" si="553">B790</f>
        <v>SPS1</v>
      </c>
      <c r="C791" s="5" t="str">
        <f t="shared" ref="C791:C808" si="554">C790</f>
        <v>CH</v>
      </c>
      <c r="D791" t="s">
        <v>481</v>
      </c>
      <c r="E791" t="s">
        <v>8</v>
      </c>
      <c r="F791" s="1">
        <f>F233</f>
        <v>0.929421378664679</v>
      </c>
      <c r="G791" s="1">
        <f t="shared" ref="G791:K791" si="555">G233</f>
        <v>2.0726397765141442</v>
      </c>
      <c r="H791" s="1">
        <f t="shared" si="555"/>
        <v>0.1111192619538891</v>
      </c>
      <c r="I791" s="1">
        <f t="shared" si="555"/>
        <v>1.3178988184424179</v>
      </c>
      <c r="J791" s="1">
        <f t="shared" si="555"/>
        <v>0</v>
      </c>
      <c r="K791" s="1">
        <f t="shared" si="555"/>
        <v>0</v>
      </c>
    </row>
    <row r="792" spans="2:13" x14ac:dyDescent="0.35">
      <c r="B792" s="5" t="str">
        <f t="shared" si="553"/>
        <v>SPS1</v>
      </c>
      <c r="C792" s="5" t="str">
        <f t="shared" si="554"/>
        <v>CH</v>
      </c>
      <c r="D792" t="s">
        <v>482</v>
      </c>
      <c r="E792" t="s">
        <v>8</v>
      </c>
      <c r="F792" s="1">
        <f>F239</f>
        <v>0.76858029484467172</v>
      </c>
      <c r="G792" s="1">
        <f t="shared" ref="G792:K792" si="556">G239</f>
        <v>0.10155444530988297</v>
      </c>
      <c r="H792" s="1">
        <f t="shared" si="556"/>
        <v>5.8365187922181726E-2</v>
      </c>
      <c r="I792" s="1">
        <f t="shared" si="556"/>
        <v>0.11556938589457254</v>
      </c>
      <c r="J792" s="1">
        <f t="shared" si="556"/>
        <v>0.7537054134958755</v>
      </c>
      <c r="K792" s="1">
        <f t="shared" si="556"/>
        <v>0.46848963305710523</v>
      </c>
    </row>
    <row r="793" spans="2:13" x14ac:dyDescent="0.35">
      <c r="B793" s="5" t="str">
        <f t="shared" si="553"/>
        <v>SPS1</v>
      </c>
      <c r="C793" s="5" t="str">
        <f t="shared" si="554"/>
        <v>CH</v>
      </c>
      <c r="D793" t="s">
        <v>483</v>
      </c>
      <c r="E793" t="s">
        <v>8</v>
      </c>
      <c r="F793" s="1">
        <f>F240</f>
        <v>0</v>
      </c>
      <c r="G793" s="1">
        <f t="shared" ref="G793:K793" si="557">G240</f>
        <v>0</v>
      </c>
      <c r="H793" s="1">
        <f t="shared" si="557"/>
        <v>0</v>
      </c>
      <c r="I793" s="1">
        <f t="shared" si="557"/>
        <v>0</v>
      </c>
      <c r="J793" s="1">
        <f t="shared" si="557"/>
        <v>2.0430129078231811E-3</v>
      </c>
      <c r="K793" s="1">
        <f t="shared" si="557"/>
        <v>0.27090270615310919</v>
      </c>
    </row>
    <row r="794" spans="2:13" x14ac:dyDescent="0.35">
      <c r="B794" s="5" t="str">
        <f t="shared" si="553"/>
        <v>SPS1</v>
      </c>
      <c r="C794" s="5" t="str">
        <f t="shared" si="554"/>
        <v>CH</v>
      </c>
      <c r="D794" t="s">
        <v>484</v>
      </c>
      <c r="E794" t="s">
        <v>8</v>
      </c>
      <c r="F794" s="1">
        <f>F241</f>
        <v>0</v>
      </c>
      <c r="G794" s="1">
        <f t="shared" ref="G794:K794" si="558">G241</f>
        <v>0</v>
      </c>
      <c r="H794" s="1">
        <f t="shared" si="558"/>
        <v>0</v>
      </c>
      <c r="I794" s="1">
        <f t="shared" si="558"/>
        <v>1.146507285725537E-4</v>
      </c>
      <c r="J794" s="1">
        <f t="shared" si="558"/>
        <v>1.2245826945008296E-3</v>
      </c>
      <c r="K794" s="1">
        <f t="shared" si="558"/>
        <v>4.12515988190692E-4</v>
      </c>
    </row>
    <row r="795" spans="2:13" x14ac:dyDescent="0.35">
      <c r="B795" s="5" t="str">
        <f t="shared" si="553"/>
        <v>SPS1</v>
      </c>
      <c r="C795" s="5" t="str">
        <f t="shared" si="554"/>
        <v>CH</v>
      </c>
      <c r="D795" t="s">
        <v>485</v>
      </c>
      <c r="E795" t="s">
        <v>8</v>
      </c>
      <c r="F795" s="1">
        <f>F272</f>
        <v>1.9348446338597027</v>
      </c>
      <c r="G795" s="1">
        <f t="shared" ref="G795:K795" si="559">G272</f>
        <v>1.8587815010417565</v>
      </c>
      <c r="H795" s="1">
        <f t="shared" si="559"/>
        <v>2.5502954568700198</v>
      </c>
      <c r="I795" s="1">
        <f t="shared" si="559"/>
        <v>2.2433433503462705</v>
      </c>
      <c r="J795" s="1">
        <f t="shared" si="559"/>
        <v>1.102499239744883</v>
      </c>
      <c r="K795" s="1">
        <f t="shared" si="559"/>
        <v>2.0949859311203411E-4</v>
      </c>
    </row>
    <row r="796" spans="2:13" x14ac:dyDescent="0.35">
      <c r="B796" s="5" t="str">
        <f t="shared" si="553"/>
        <v>SPS1</v>
      </c>
      <c r="C796" s="5" t="str">
        <f t="shared" si="554"/>
        <v>CH</v>
      </c>
      <c r="D796" t="s">
        <v>486</v>
      </c>
      <c r="E796" t="s">
        <v>8</v>
      </c>
      <c r="F796" s="1">
        <f>F273</f>
        <v>0</v>
      </c>
      <c r="G796" s="1">
        <f t="shared" ref="G796:K796" si="560">G273</f>
        <v>0</v>
      </c>
      <c r="H796" s="1">
        <f t="shared" si="560"/>
        <v>0</v>
      </c>
      <c r="I796" s="1">
        <f t="shared" si="560"/>
        <v>0</v>
      </c>
      <c r="J796" s="1">
        <f t="shared" si="560"/>
        <v>0.50123931555276602</v>
      </c>
      <c r="K796" s="1">
        <f t="shared" si="560"/>
        <v>2.0111290138192013</v>
      </c>
    </row>
    <row r="797" spans="2:13" x14ac:dyDescent="0.35">
      <c r="B797" s="5" t="str">
        <f t="shared" si="553"/>
        <v>SPS1</v>
      </c>
      <c r="C797" s="5" t="str">
        <f t="shared" si="554"/>
        <v>CH</v>
      </c>
      <c r="D797" t="s">
        <v>487</v>
      </c>
      <c r="E797" t="s">
        <v>8</v>
      </c>
      <c r="F797" s="1">
        <f>F281</f>
        <v>0.65962463691138318</v>
      </c>
      <c r="G797" s="1">
        <f t="shared" ref="G797:K797" si="561">G281</f>
        <v>1.8167196899986511</v>
      </c>
      <c r="H797" s="1">
        <f t="shared" si="561"/>
        <v>3.3360593817489446</v>
      </c>
      <c r="I797" s="1">
        <f t="shared" si="561"/>
        <v>3.9240650403853277</v>
      </c>
      <c r="J797" s="1">
        <f t="shared" si="561"/>
        <v>3.6356111598913348</v>
      </c>
      <c r="K797" s="1">
        <f t="shared" si="561"/>
        <v>3.6284109371024931</v>
      </c>
    </row>
    <row r="798" spans="2:13" x14ac:dyDescent="0.35">
      <c r="B798" s="5" t="str">
        <f t="shared" si="553"/>
        <v>SPS1</v>
      </c>
      <c r="C798" s="5" t="str">
        <f t="shared" si="554"/>
        <v>CH</v>
      </c>
      <c r="D798" t="s">
        <v>488</v>
      </c>
      <c r="E798" t="s">
        <v>8</v>
      </c>
      <c r="F798" s="1">
        <f>F282</f>
        <v>0</v>
      </c>
      <c r="G798" s="1">
        <f t="shared" ref="G798:K798" si="562">G282</f>
        <v>0</v>
      </c>
      <c r="H798" s="1">
        <f t="shared" si="562"/>
        <v>0</v>
      </c>
      <c r="I798" s="1">
        <f t="shared" si="562"/>
        <v>0</v>
      </c>
      <c r="J798" s="1">
        <f t="shared" si="562"/>
        <v>2.3755035948996497</v>
      </c>
      <c r="K798" s="1">
        <f t="shared" si="562"/>
        <v>5.2196380618604996</v>
      </c>
    </row>
    <row r="799" spans="2:13" x14ac:dyDescent="0.35">
      <c r="B799" s="5" t="str">
        <f t="shared" si="553"/>
        <v>SPS1</v>
      </c>
      <c r="C799" s="5" t="str">
        <f t="shared" si="554"/>
        <v>CH</v>
      </c>
      <c r="D799" t="s">
        <v>489</v>
      </c>
      <c r="E799" t="s">
        <v>8</v>
      </c>
      <c r="F799" s="1">
        <f>F287</f>
        <v>0</v>
      </c>
      <c r="G799" s="1">
        <f t="shared" ref="G799:K799" si="563">G287</f>
        <v>0</v>
      </c>
      <c r="H799" s="1">
        <f t="shared" si="563"/>
        <v>0</v>
      </c>
      <c r="I799" s="1">
        <f t="shared" si="563"/>
        <v>2.2241668993780309E-3</v>
      </c>
      <c r="J799" s="1">
        <f t="shared" si="563"/>
        <v>0.24824907251639999</v>
      </c>
      <c r="K799" s="1">
        <f t="shared" si="563"/>
        <v>0.19556716051929929</v>
      </c>
      <c r="M799" s="1"/>
    </row>
    <row r="800" spans="2:13" x14ac:dyDescent="0.35">
      <c r="B800" s="5" t="str">
        <f t="shared" si="553"/>
        <v>SPS1</v>
      </c>
      <c r="C800" s="5" t="str">
        <f t="shared" si="554"/>
        <v>CH</v>
      </c>
      <c r="D800" t="s">
        <v>951</v>
      </c>
      <c r="E800" t="s">
        <v>8</v>
      </c>
      <c r="F800" s="1" cm="1">
        <f t="array" ref="F800">SUMPRODUCT(([1]OUT_FinalEnergyCons!$B$4:$B$10000="Var_Fin")*1, ([1]OUT_FinalEnergyCons!$C$4:$C$10000="ITOT_LTH_DH")*1, (ISNUMBER(SEARCH("ITOT-SWHLTHDH",[1]OUT_FinalEnergyCons!$A$4:$A$10000)))*1,[1]OUT_FinalEnergyCons!D$4:D$10000)</f>
        <v>7.1200090411603778</v>
      </c>
      <c r="G800" s="1" cm="1">
        <f t="array" ref="G800">SUMPRODUCT(([1]OUT_FinalEnergyCons!$B$4:$B$10000="Var_Fin")*1, ([1]OUT_FinalEnergyCons!$C$4:$C$10000="ITOT_LTH_DH")*1, (ISNUMBER(SEARCH("ITOT-SWHLTHDH",[1]OUT_FinalEnergyCons!$A$4:$A$10000)))*1,[1]OUT_FinalEnergyCons!E$4:E$10000)</f>
        <v>7.6289079867003018</v>
      </c>
      <c r="H800" s="1" cm="1">
        <f t="array" ref="H800">SUMPRODUCT(([1]OUT_FinalEnergyCons!$B$4:$B$10000="Var_Fin")*1, ([1]OUT_FinalEnergyCons!$C$4:$C$10000="ITOT_LTH_DH")*1, (ISNUMBER(SEARCH("ITOT-SWHLTHDH",[1]OUT_FinalEnergyCons!$A$4:$A$10000)))*1,[1]OUT_FinalEnergyCons!F$4:F$10000)</f>
        <v>7.3892713185646377</v>
      </c>
      <c r="I800" s="1" cm="1">
        <f t="array" ref="I800">SUMPRODUCT(([1]OUT_FinalEnergyCons!$B$4:$B$10000="Var_Fin")*1, ([1]OUT_FinalEnergyCons!$C$4:$C$10000="ITOT_LTH_DH")*1, (ISNUMBER(SEARCH("ITOT-SWHLTHDH",[1]OUT_FinalEnergyCons!$A$4:$A$10000)))*1,[1]OUT_FinalEnergyCons!G$4:G$10000)</f>
        <v>7.5477919715634734</v>
      </c>
      <c r="J800" s="1" cm="1">
        <f t="array" ref="J800">SUMPRODUCT(([1]OUT_FinalEnergyCons!$B$4:$B$10000="Var_Fin")*1, ([1]OUT_FinalEnergyCons!$C$4:$C$10000="ITOT_LTH_DH")*1, (ISNUMBER(SEARCH("ITOT-SWHLTHDH",[1]OUT_FinalEnergyCons!$A$4:$A$10000)))*1,[1]OUT_FinalEnergyCons!H$4:H$10000)</f>
        <v>6.3889517973275325</v>
      </c>
      <c r="K800" s="1" cm="1">
        <f t="array" ref="K800">SUMPRODUCT(([1]OUT_FinalEnergyCons!$B$4:$B$10000="Var_Fin")*1, ([1]OUT_FinalEnergyCons!$C$4:$C$10000="ITOT_LTH_DH")*1, (ISNUMBER(SEARCH("ITOT-SWHLTHDH",[1]OUT_FinalEnergyCons!$A$4:$A$10000)))*1,[1]OUT_FinalEnergyCons!I$4:I$10000)</f>
        <v>7.0858752598364569</v>
      </c>
    </row>
    <row r="801" spans="2:11" x14ac:dyDescent="0.35">
      <c r="B801" s="5" t="str">
        <f>B800</f>
        <v>SPS1</v>
      </c>
      <c r="C801" s="5" t="str">
        <f t="shared" si="554"/>
        <v>CH</v>
      </c>
      <c r="D801" t="s">
        <v>952</v>
      </c>
      <c r="E801" t="s">
        <v>8</v>
      </c>
      <c r="F801" s="1">
        <f>F802</f>
        <v>9.0019289178809085</v>
      </c>
      <c r="G801" s="1">
        <f t="shared" ref="G801:K801" si="564">G802</f>
        <v>10.609957730649688</v>
      </c>
      <c r="H801" s="1">
        <f t="shared" si="564"/>
        <v>5.8490434483455278</v>
      </c>
      <c r="I801" s="1">
        <f t="shared" si="564"/>
        <v>5.4642712557149631</v>
      </c>
      <c r="J801" s="1">
        <f t="shared" si="564"/>
        <v>6.976352947583301</v>
      </c>
      <c r="K801" s="1">
        <f t="shared" si="564"/>
        <v>4.5181694636873146</v>
      </c>
    </row>
    <row r="802" spans="2:11" x14ac:dyDescent="0.35">
      <c r="B802" s="5" t="str">
        <f t="shared" ref="B802:B804" si="565">B801</f>
        <v>SPS1</v>
      </c>
      <c r="C802" s="5" t="str">
        <f t="shared" si="554"/>
        <v>CH</v>
      </c>
      <c r="D802" t="s">
        <v>953</v>
      </c>
      <c r="E802" t="s">
        <v>8</v>
      </c>
      <c r="F802" s="1" cm="1">
        <f t="array" ref="F802">SUMPRODUCT(([1]OUT_FinalEnergyCons!$B$4:$B$10000="Var_Fin")*1, ([1]OUT_FinalEnergyCons!$C$4:$C$10000="iWOD")*1, (ISNUMBER(SEARCH("ITOT-SWHWOD*BR",[1]OUT_FinalEnergyCons!$A$4:$A$10000)))*1,[1]OUT_FinalEnergyCons!D$4:D$10000)</f>
        <v>9.0019289178809085</v>
      </c>
      <c r="G802" s="1" cm="1">
        <f t="array" ref="G802">SUMPRODUCT(([1]OUT_FinalEnergyCons!$B$4:$B$10000="Var_Fin")*1, ([1]OUT_FinalEnergyCons!$C$4:$C$10000="iWOD")*1, (ISNUMBER(SEARCH("ITOT-SWHWOD*BR",[1]OUT_FinalEnergyCons!$A$4:$A$10000)))*1,[1]OUT_FinalEnergyCons!E$4:E$10000)</f>
        <v>10.609957730649688</v>
      </c>
      <c r="H802" s="1" cm="1">
        <f t="array" ref="H802">SUMPRODUCT(([1]OUT_FinalEnergyCons!$B$4:$B$10000="Var_Fin")*1, ([1]OUT_FinalEnergyCons!$C$4:$C$10000="iWOD")*1, (ISNUMBER(SEARCH("ITOT-SWHWOD*BR",[1]OUT_FinalEnergyCons!$A$4:$A$10000)))*1,[1]OUT_FinalEnergyCons!F$4:F$10000)</f>
        <v>5.8490434483455278</v>
      </c>
      <c r="I802" s="1" cm="1">
        <f t="array" ref="I802">SUMPRODUCT(([1]OUT_FinalEnergyCons!$B$4:$B$10000="Var_Fin")*1, ([1]OUT_FinalEnergyCons!$C$4:$C$10000="iWOD")*1, (ISNUMBER(SEARCH("ITOT-SWHWOD*BR",[1]OUT_FinalEnergyCons!$A$4:$A$10000)))*1,[1]OUT_FinalEnergyCons!G$4:G$10000)</f>
        <v>5.4642712557149631</v>
      </c>
      <c r="J802" s="1" cm="1">
        <f t="array" ref="J802">SUMPRODUCT(([1]OUT_FinalEnergyCons!$B$4:$B$10000="Var_Fin")*1, ([1]OUT_FinalEnergyCons!$C$4:$C$10000="iWOD")*1, (ISNUMBER(SEARCH("ITOT-SWHWOD*BR",[1]OUT_FinalEnergyCons!$A$4:$A$10000)))*1,[1]OUT_FinalEnergyCons!H$4:H$10000)</f>
        <v>6.976352947583301</v>
      </c>
      <c r="K802" s="1" cm="1">
        <f t="array" ref="K802">SUMPRODUCT(([1]OUT_FinalEnergyCons!$B$4:$B$10000="Var_Fin")*1, ([1]OUT_FinalEnergyCons!$C$4:$C$10000="iWOD")*1, (ISNUMBER(SEARCH("ITOT-SWHWOD*BR",[1]OUT_FinalEnergyCons!$A$4:$A$10000)))*1,[1]OUT_FinalEnergyCons!I$4:I$10000)</f>
        <v>4.5181694636873146</v>
      </c>
    </row>
    <row r="803" spans="2:11" x14ac:dyDescent="0.35">
      <c r="B803" s="5" t="str">
        <f t="shared" si="565"/>
        <v>SPS1</v>
      </c>
      <c r="C803" s="5" t="str">
        <f t="shared" si="554"/>
        <v>CH</v>
      </c>
      <c r="D803" t="s">
        <v>954</v>
      </c>
      <c r="E803" t="s">
        <v>8</v>
      </c>
      <c r="F803" s="1">
        <f>F804</f>
        <v>0.62579905191362417</v>
      </c>
      <c r="G803" s="1">
        <f t="shared" ref="G803:K803" si="566">G804</f>
        <v>0.73757781964595781</v>
      </c>
      <c r="H803" s="1">
        <f t="shared" si="566"/>
        <v>3.9359396236044453</v>
      </c>
      <c r="I803" s="1">
        <f t="shared" si="566"/>
        <v>4.0963459228316097</v>
      </c>
      <c r="J803" s="1">
        <f t="shared" si="566"/>
        <v>4.0734643218167044</v>
      </c>
      <c r="K803" s="1">
        <f t="shared" si="566"/>
        <v>4.0508336940947158</v>
      </c>
    </row>
    <row r="804" spans="2:11" x14ac:dyDescent="0.35">
      <c r="B804" s="5" t="str">
        <f t="shared" si="565"/>
        <v>SPS1</v>
      </c>
      <c r="C804" s="5" t="str">
        <f t="shared" si="554"/>
        <v>CH</v>
      </c>
      <c r="D804" t="s">
        <v>955</v>
      </c>
      <c r="E804" t="s">
        <v>8</v>
      </c>
      <c r="F804" s="1" cm="1">
        <f t="array" ref="F804">SUMPRODUCT(([1]OUT_FinalEnergyCons!$B$4:$B$10000="Var_Fin")*1, ([1]OUT_FinalEnergyCons!$C$4:$C$10000="IPLT")*1, (ISNUMBER(SEARCH("ITOT-SWHPLT*BR",[1]OUT_FinalEnergyCons!$A$4:$A$10000)))*1,[1]OUT_FinalEnergyCons!D$4:D$10000)</f>
        <v>0.62579905191362417</v>
      </c>
      <c r="G804" s="1" cm="1">
        <f t="array" ref="G804">SUMPRODUCT(([1]OUT_FinalEnergyCons!$B$4:$B$10000="Var_Fin")*1, ([1]OUT_FinalEnergyCons!$C$4:$C$10000="IPLT")*1, (ISNUMBER(SEARCH("ITOT-SWHPLT*BR",[1]OUT_FinalEnergyCons!$A$4:$A$10000)))*1,[1]OUT_FinalEnergyCons!E$4:E$10000)</f>
        <v>0.73757781964595781</v>
      </c>
      <c r="H804" s="1" cm="1">
        <f t="array" ref="H804">SUMPRODUCT(([1]OUT_FinalEnergyCons!$B$4:$B$10000="Var_Fin")*1, ([1]OUT_FinalEnergyCons!$C$4:$C$10000="IPLT")*1, (ISNUMBER(SEARCH("ITOT-SWHPLT*BR",[1]OUT_FinalEnergyCons!$A$4:$A$10000)))*1,[1]OUT_FinalEnergyCons!F$4:F$10000)</f>
        <v>3.9359396236044453</v>
      </c>
      <c r="I804" s="1" cm="1">
        <f t="array" ref="I804">SUMPRODUCT(([1]OUT_FinalEnergyCons!$B$4:$B$10000="Var_Fin")*1, ([1]OUT_FinalEnergyCons!$C$4:$C$10000="IPLT")*1, (ISNUMBER(SEARCH("ITOT-SWHPLT*BR",[1]OUT_FinalEnergyCons!$A$4:$A$10000)))*1,[1]OUT_FinalEnergyCons!G$4:G$10000)</f>
        <v>4.0963459228316097</v>
      </c>
      <c r="J804" s="1" cm="1">
        <f t="array" ref="J804">SUMPRODUCT(([1]OUT_FinalEnergyCons!$B$4:$B$10000="Var_Fin")*1, ([1]OUT_FinalEnergyCons!$C$4:$C$10000="IPLT")*1, (ISNUMBER(SEARCH("ITOT-SWHPLT*BR",[1]OUT_FinalEnergyCons!$A$4:$A$10000)))*1,[1]OUT_FinalEnergyCons!H$4:H$10000)</f>
        <v>4.0734643218167044</v>
      </c>
      <c r="K804" s="1" cm="1">
        <f t="array" ref="K804">SUMPRODUCT(([1]OUT_FinalEnergyCons!$B$4:$B$10000="Var_Fin")*1, ([1]OUT_FinalEnergyCons!$C$4:$C$10000="IPLT")*1, (ISNUMBER(SEARCH("ITOT-SWHPLT*BR",[1]OUT_FinalEnergyCons!$A$4:$A$10000)))*1,[1]OUT_FinalEnergyCons!I$4:I$10000)</f>
        <v>4.0508336940947158</v>
      </c>
    </row>
    <row r="805" spans="2:11" x14ac:dyDescent="0.35">
      <c r="B805" s="5" t="str">
        <f>B804</f>
        <v>SPS1</v>
      </c>
      <c r="C805" s="5" t="str">
        <f t="shared" si="554"/>
        <v>CH</v>
      </c>
      <c r="D805" t="s">
        <v>492</v>
      </c>
      <c r="E805" t="s">
        <v>8</v>
      </c>
      <c r="F805" s="1">
        <f>[1]Industry!B$21</f>
        <v>7.7980570677791858</v>
      </c>
      <c r="G805" s="1">
        <f>[1]Industry!C$21</f>
        <v>8.0801736772718424</v>
      </c>
      <c r="H805" s="1">
        <f>[1]Industry!D$21</f>
        <v>5.6083285293804286</v>
      </c>
      <c r="I805" s="1">
        <f>[1]Industry!E$21</f>
        <v>5.5456951923274129</v>
      </c>
      <c r="J805" s="1">
        <f>[1]Industry!F$21</f>
        <v>5.4538406429229527</v>
      </c>
      <c r="K805" s="1">
        <f>[1]Industry!G$21</f>
        <v>9.9615356765622156E-4</v>
      </c>
    </row>
    <row r="806" spans="2:11" x14ac:dyDescent="0.35">
      <c r="B806" s="5" t="str">
        <f t="shared" ref="B806:B808" si="567">B805</f>
        <v>SPS1</v>
      </c>
      <c r="C806" s="5" t="str">
        <f t="shared" si="554"/>
        <v>CH</v>
      </c>
      <c r="D806" t="s">
        <v>495</v>
      </c>
      <c r="E806" t="s">
        <v>8</v>
      </c>
      <c r="F806" s="1">
        <f>F805</f>
        <v>7.7980570677791858</v>
      </c>
      <c r="G806" s="1">
        <f t="shared" ref="G806:K806" si="568">G805</f>
        <v>8.0801736772718424</v>
      </c>
      <c r="H806" s="1">
        <f t="shared" si="568"/>
        <v>5.6083285293804286</v>
      </c>
      <c r="I806" s="1">
        <f t="shared" si="568"/>
        <v>5.5456951923274129</v>
      </c>
      <c r="J806" s="1">
        <f t="shared" si="568"/>
        <v>5.4538406429229527</v>
      </c>
      <c r="K806" s="1">
        <f t="shared" si="568"/>
        <v>9.9615356765622156E-4</v>
      </c>
    </row>
    <row r="807" spans="2:11" x14ac:dyDescent="0.35">
      <c r="B807" s="5" t="str">
        <f t="shared" si="567"/>
        <v>SPS1</v>
      </c>
      <c r="C807" s="5" t="str">
        <f t="shared" si="554"/>
        <v>CH</v>
      </c>
      <c r="D807" t="s">
        <v>493</v>
      </c>
      <c r="E807" t="s">
        <v>8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2:11" x14ac:dyDescent="0.35">
      <c r="B808" s="5" t="str">
        <f t="shared" si="567"/>
        <v>SPS1</v>
      </c>
      <c r="C808" s="5" t="str">
        <f t="shared" si="554"/>
        <v>CH</v>
      </c>
      <c r="D808" t="s">
        <v>494</v>
      </c>
      <c r="E808" t="s">
        <v>8</v>
      </c>
      <c r="F808" s="1">
        <f>F806</f>
        <v>7.7980570677791858</v>
      </c>
      <c r="G808" s="1">
        <f t="shared" ref="G808:K808" si="569">G806</f>
        <v>8.0801736772718424</v>
      </c>
      <c r="H808" s="1">
        <f t="shared" si="569"/>
        <v>5.6083285293804286</v>
      </c>
      <c r="I808" s="1">
        <f t="shared" si="569"/>
        <v>5.5456951923274129</v>
      </c>
      <c r="J808" s="1">
        <f t="shared" si="569"/>
        <v>5.4538406429229527</v>
      </c>
      <c r="K808" s="1">
        <f t="shared" si="569"/>
        <v>9.9615356765622156E-4</v>
      </c>
    </row>
    <row r="809" spans="2:11" x14ac:dyDescent="0.35">
      <c r="B809" s="5" t="str">
        <f>B808</f>
        <v>SPS1</v>
      </c>
      <c r="C809" s="5" t="str">
        <f t="shared" ref="C809:C810" si="570">C808</f>
        <v>CH</v>
      </c>
      <c r="D809" t="s">
        <v>956</v>
      </c>
      <c r="E809" t="s">
        <v>8</v>
      </c>
      <c r="F809" s="1">
        <f>[1]Industry!B$22</f>
        <v>6.7668994804272242E-2</v>
      </c>
      <c r="G809" s="1">
        <f>[1]Industry!C$22</f>
        <v>8.5497785886961844E-2</v>
      </c>
      <c r="H809" s="1">
        <f>[1]Industry!D$22</f>
        <v>8.4471828299331891E-2</v>
      </c>
      <c r="I809" s="1">
        <f>[1]Industry!E$22</f>
        <v>8.579246010832263E-2</v>
      </c>
      <c r="J809" s="1">
        <f>[1]Industry!F$22</f>
        <v>5.8900805200172872E-2</v>
      </c>
      <c r="K809" s="1">
        <f>[1]Industry!G$22</f>
        <v>5.3138093429456315E-2</v>
      </c>
    </row>
    <row r="810" spans="2:11" x14ac:dyDescent="0.35">
      <c r="B810" s="5" t="str">
        <f t="shared" ref="B810" si="571">B809</f>
        <v>SPS1</v>
      </c>
      <c r="C810" s="5" t="str">
        <f t="shared" si="570"/>
        <v>CH</v>
      </c>
      <c r="D810" t="s">
        <v>957</v>
      </c>
      <c r="E810" t="s">
        <v>8</v>
      </c>
      <c r="F810" s="1">
        <f>F809</f>
        <v>6.7668994804272242E-2</v>
      </c>
      <c r="G810" s="1">
        <f t="shared" ref="G810:K810" si="572">G809</f>
        <v>8.5497785886961844E-2</v>
      </c>
      <c r="H810" s="1">
        <f t="shared" si="572"/>
        <v>8.4471828299331891E-2</v>
      </c>
      <c r="I810" s="1">
        <f t="shared" si="572"/>
        <v>8.579246010832263E-2</v>
      </c>
      <c r="J810" s="1">
        <f t="shared" si="572"/>
        <v>5.8900805200172872E-2</v>
      </c>
      <c r="K810" s="1">
        <f t="shared" si="572"/>
        <v>5.3138093429456315E-2</v>
      </c>
    </row>
    <row r="811" spans="2:11" x14ac:dyDescent="0.35">
      <c r="B811" s="5" t="str">
        <f>B810</f>
        <v>SPS1</v>
      </c>
      <c r="C811" s="5" t="str">
        <f t="shared" ref="C811:C812" si="573">C810</f>
        <v>CH</v>
      </c>
      <c r="D811" t="s">
        <v>958</v>
      </c>
      <c r="E811" t="s">
        <v>8</v>
      </c>
      <c r="F811" s="1">
        <f>[1]Industry!B$23</f>
        <v>0</v>
      </c>
      <c r="G811" s="1">
        <f>[1]Industry!C$23</f>
        <v>0</v>
      </c>
      <c r="H811" s="1">
        <f>[1]Industry!D$23</f>
        <v>0</v>
      </c>
      <c r="I811" s="1">
        <f>[1]Industry!E$23</f>
        <v>4.9340265227746788E-2</v>
      </c>
      <c r="J811" s="1">
        <f>[1]Industry!F$23</f>
        <v>5.0146467581720771</v>
      </c>
      <c r="K811" s="1">
        <f>[1]Industry!G$23</f>
        <v>19.003821091724127</v>
      </c>
    </row>
    <row r="812" spans="2:11" x14ac:dyDescent="0.35">
      <c r="B812" s="5" t="str">
        <f t="shared" ref="B812" si="574">B811</f>
        <v>SPS1</v>
      </c>
      <c r="C812" s="5" t="str">
        <f t="shared" si="573"/>
        <v>CH</v>
      </c>
      <c r="D812" t="s">
        <v>959</v>
      </c>
      <c r="E812" t="s">
        <v>8</v>
      </c>
      <c r="F812" s="1">
        <f>F811</f>
        <v>0</v>
      </c>
      <c r="G812" s="1">
        <f t="shared" ref="G812:K812" si="575">G811</f>
        <v>0</v>
      </c>
      <c r="H812" s="1">
        <f t="shared" si="575"/>
        <v>0</v>
      </c>
      <c r="I812" s="1">
        <f t="shared" si="575"/>
        <v>4.9340265227746788E-2</v>
      </c>
      <c r="J812" s="1">
        <f t="shared" si="575"/>
        <v>5.0146467581720771</v>
      </c>
      <c r="K812" s="1">
        <f t="shared" si="575"/>
        <v>19.003821091724127</v>
      </c>
    </row>
    <row r="813" spans="2:11" x14ac:dyDescent="0.35">
      <c r="B813" s="5" t="str">
        <f>B812</f>
        <v>SPS1</v>
      </c>
      <c r="C813" s="5" t="str">
        <f t="shared" ref="C813:C814" si="576">C812</f>
        <v>CH</v>
      </c>
      <c r="D813" t="s">
        <v>960</v>
      </c>
      <c r="E813" t="s">
        <v>8</v>
      </c>
      <c r="F813" s="1">
        <f>[1]Industry!B$24</f>
        <v>0.74849780408265032</v>
      </c>
      <c r="G813" s="1">
        <f>[1]Industry!C$24</f>
        <v>0.94974019161520806</v>
      </c>
      <c r="H813" s="1">
        <f>[1]Industry!D$24</f>
        <v>1.1528249926722285</v>
      </c>
      <c r="I813" s="1">
        <f>[1]Industry!E$24</f>
        <v>4.0002759689711489</v>
      </c>
      <c r="J813" s="1">
        <f>[1]Industry!F$24</f>
        <v>4.0675629450466761</v>
      </c>
      <c r="K813" s="1">
        <f>[1]Industry!G$24</f>
        <v>4.1299089383501677</v>
      </c>
    </row>
    <row r="814" spans="2:11" x14ac:dyDescent="0.35">
      <c r="B814" s="5" t="str">
        <f t="shared" ref="B814" si="577">B813</f>
        <v>SPS1</v>
      </c>
      <c r="C814" s="5" t="str">
        <f t="shared" si="576"/>
        <v>CH</v>
      </c>
      <c r="D814" t="s">
        <v>961</v>
      </c>
      <c r="E814" t="s">
        <v>8</v>
      </c>
      <c r="F814" s="1" cm="1">
        <f t="array" ref="F814">SUMPRODUCT(([1]OUT_FinalEnergyCons!$B$4:$B$10000="Var_FOut")*1, ([1]OUT_FinalEnergyCons!$C$4:$C$10000="ITOT-SWHAelch")*1, (ISNUMBER(SEARCH("ITOT-SWHELCHP",[1]OUT_FinalEnergyCons!$A$4:$A$10000)))*1,[1]OUT_FinalEnergyCons!D$4:D$10000)-F764</f>
        <v>0.74849780408265032</v>
      </c>
      <c r="G814" s="1" cm="1">
        <f t="array" ref="G814">SUMPRODUCT(([1]OUT_FinalEnergyCons!$B$4:$B$10000="Var_FOut")*1, ([1]OUT_FinalEnergyCons!$C$4:$C$10000="ITOT-SWHAelch")*1, (ISNUMBER(SEARCH("ITOT-SWHELCHP",[1]OUT_FinalEnergyCons!$A$4:$A$10000)))*1,[1]OUT_FinalEnergyCons!E$4:E$10000)-G764</f>
        <v>0.94974019161520806</v>
      </c>
      <c r="H814" s="1" cm="1">
        <f t="array" ref="H814">SUMPRODUCT(([1]OUT_FinalEnergyCons!$B$4:$B$10000="Var_FOut")*1, ([1]OUT_FinalEnergyCons!$C$4:$C$10000="ITOT-SWHAelch")*1, (ISNUMBER(SEARCH("ITOT-SWHELCHP",[1]OUT_FinalEnergyCons!$A$4:$A$10000)))*1,[1]OUT_FinalEnergyCons!F$4:F$10000)-H764</f>
        <v>1.1485141269094017</v>
      </c>
      <c r="I814" s="1" cm="1">
        <f t="array" ref="I814">SUMPRODUCT(([1]OUT_FinalEnergyCons!$B$4:$B$10000="Var_FOut")*1, ([1]OUT_FinalEnergyCons!$C$4:$C$10000="ITOT-SWHAelch")*1, (ISNUMBER(SEARCH("ITOT-SWHELCHP",[1]OUT_FinalEnergyCons!$A$4:$A$10000)))*1,[1]OUT_FinalEnergyCons!G$4:G$10000)-I764</f>
        <v>3.9956107214350123</v>
      </c>
      <c r="J814" s="1" cm="1">
        <f t="array" ref="J814">SUMPRODUCT(([1]OUT_FinalEnergyCons!$B$4:$B$10000="Var_FOut")*1, ([1]OUT_FinalEnergyCons!$C$4:$C$10000="ITOT-SWHAelch")*1, (ISNUMBER(SEARCH("ITOT-SWHELCHP",[1]OUT_FinalEnergyCons!$A$4:$A$10000)))*1,[1]OUT_FinalEnergyCons!H$4:H$10000)-J764</f>
        <v>4.0625357599980783</v>
      </c>
      <c r="K814" s="1" cm="1">
        <f t="array" ref="K814">SUMPRODUCT(([1]OUT_FinalEnergyCons!$B$4:$B$10000="Var_FOut")*1, ([1]OUT_FinalEnergyCons!$C$4:$C$10000="ITOT-SWHAelch")*1, (ISNUMBER(SEARCH("ITOT-SWHELCHP",[1]OUT_FinalEnergyCons!$A$4:$A$10000)))*1,[1]OUT_FinalEnergyCons!I$4:I$10000)-K764</f>
        <v>4.124699346267235</v>
      </c>
    </row>
    <row r="815" spans="2:11" x14ac:dyDescent="0.35">
      <c r="B815" s="5" t="str">
        <f t="shared" ref="B815:B816" si="578">B814</f>
        <v>SPS1</v>
      </c>
      <c r="C815" s="5" t="str">
        <f t="shared" ref="C815:C823" si="579">C814</f>
        <v>CH</v>
      </c>
      <c r="D815" t="s">
        <v>962</v>
      </c>
      <c r="E815" t="s">
        <v>8</v>
      </c>
      <c r="F815" s="1">
        <f>F813-F814</f>
        <v>0</v>
      </c>
      <c r="G815" s="1">
        <f t="shared" ref="G815:K815" si="580">G813-G814</f>
        <v>0</v>
      </c>
      <c r="H815" s="1">
        <f t="shared" si="580"/>
        <v>4.3108657628267988E-3</v>
      </c>
      <c r="I815" s="1">
        <f t="shared" si="580"/>
        <v>4.6652475361366186E-3</v>
      </c>
      <c r="J815" s="1">
        <f t="shared" si="580"/>
        <v>5.0271850485978931E-3</v>
      </c>
      <c r="K815" s="1">
        <f t="shared" si="580"/>
        <v>5.2095920829327014E-3</v>
      </c>
    </row>
    <row r="816" spans="2:11" x14ac:dyDescent="0.35">
      <c r="B816" s="9" t="str">
        <f t="shared" si="578"/>
        <v>SPS1</v>
      </c>
      <c r="C816" s="9" t="str">
        <f t="shared" si="579"/>
        <v>CH</v>
      </c>
      <c r="D816" s="2" t="s">
        <v>684</v>
      </c>
      <c r="E816" s="9" t="s">
        <v>8</v>
      </c>
      <c r="F816" s="17">
        <f>[1]Industry!B$71</f>
        <v>72.708419093071569</v>
      </c>
      <c r="G816" s="17">
        <f>[1]Industry!C$71</f>
        <v>74.352891223518853</v>
      </c>
      <c r="H816" s="17">
        <f>[1]Industry!D$71</f>
        <v>76.093363479837492</v>
      </c>
      <c r="I816" s="17">
        <f>[1]Industry!E$71</f>
        <v>76.930057352571993</v>
      </c>
      <c r="J816" s="17">
        <f>[1]Industry!F$71</f>
        <v>78.066948000540336</v>
      </c>
      <c r="K816" s="17">
        <f>[1]Industry!G$71</f>
        <v>78.694368062090575</v>
      </c>
    </row>
    <row r="817" spans="2:13" x14ac:dyDescent="0.35">
      <c r="B817" s="5" t="str">
        <f>B816</f>
        <v>SPS1</v>
      </c>
      <c r="C817" s="5" t="str">
        <f t="shared" si="579"/>
        <v>CH</v>
      </c>
      <c r="D817" t="s">
        <v>2032</v>
      </c>
      <c r="E817" t="s">
        <v>8</v>
      </c>
      <c r="F817" s="18">
        <f>SUM(F818:F820)</f>
        <v>58.985491771745295</v>
      </c>
      <c r="G817" s="18">
        <f t="shared" ref="G817:K817" si="581">SUM(G818:G820)</f>
        <v>61.602273608675212</v>
      </c>
      <c r="H817" s="18">
        <f t="shared" si="581"/>
        <v>63.134027534537012</v>
      </c>
      <c r="I817" s="18">
        <f t="shared" si="581"/>
        <v>67.789533336692315</v>
      </c>
      <c r="J817" s="18">
        <f t="shared" si="581"/>
        <v>66.364906928938467</v>
      </c>
      <c r="K817" s="18">
        <f t="shared" si="581"/>
        <v>67.714693539979962</v>
      </c>
    </row>
    <row r="818" spans="2:13" x14ac:dyDescent="0.35">
      <c r="B818" s="5" t="str">
        <f t="shared" ref="B818:B823" si="582">B817</f>
        <v>SPS1</v>
      </c>
      <c r="C818" s="5" t="str">
        <f t="shared" si="579"/>
        <v>CH</v>
      </c>
      <c r="D818" t="s">
        <v>2033</v>
      </c>
      <c r="E818" t="s">
        <v>8</v>
      </c>
      <c r="F818" s="1">
        <f>[1]Industry!B$55</f>
        <v>9.8139111005787019</v>
      </c>
      <c r="G818" s="1">
        <f>[1]Industry!C$55</f>
        <v>10.335088255903569</v>
      </c>
      <c r="H818" s="1">
        <f>[1]Industry!D$55</f>
        <v>10.335086107943797</v>
      </c>
      <c r="I818" s="1">
        <f>[1]Industry!E$55</f>
        <v>10.335086318760048</v>
      </c>
      <c r="J818" s="1">
        <f>[1]Industry!F$55</f>
        <v>10.335084849397605</v>
      </c>
      <c r="K818" s="1">
        <f>[1]Industry!G$55</f>
        <v>10.335083002113688</v>
      </c>
      <c r="L818" s="1"/>
      <c r="M818" s="1"/>
    </row>
    <row r="819" spans="2:13" x14ac:dyDescent="0.35">
      <c r="B819" s="5" t="str">
        <f t="shared" si="582"/>
        <v>SPS1</v>
      </c>
      <c r="C819" s="5" t="str">
        <f t="shared" si="579"/>
        <v>CH</v>
      </c>
      <c r="D819" t="s">
        <v>2034</v>
      </c>
      <c r="E819" t="s">
        <v>8</v>
      </c>
      <c r="F819" s="1">
        <f>[1]Industry!B$56</f>
        <v>1.1081830189955955</v>
      </c>
      <c r="G819" s="1">
        <f>[1]Industry!C$56</f>
        <v>1.4008080076983809</v>
      </c>
      <c r="H819" s="1">
        <f>[1]Industry!D$56</f>
        <v>1.6846084025909003</v>
      </c>
      <c r="I819" s="1">
        <f>[1]Industry!E$56</f>
        <v>5.8086932031384713</v>
      </c>
      <c r="J819" s="1">
        <f>[1]Industry!F$56</f>
        <v>5.808696507829417</v>
      </c>
      <c r="K819" s="1">
        <f>[1]Industry!G$56</f>
        <v>5.8087040184351517</v>
      </c>
    </row>
    <row r="820" spans="2:13" x14ac:dyDescent="0.35">
      <c r="B820" s="5" t="str">
        <f t="shared" si="582"/>
        <v>SPS1</v>
      </c>
      <c r="C820" s="5" t="str">
        <f t="shared" si="579"/>
        <v>CH</v>
      </c>
      <c r="D820" t="s">
        <v>2035</v>
      </c>
      <c r="E820" t="s">
        <v>8</v>
      </c>
      <c r="F820" s="1">
        <f>[1]Industry!B$3-([1]Industry!B$6-[1]Industry!B$70)</f>
        <v>48.063397652170998</v>
      </c>
      <c r="G820" s="1">
        <f>[1]Industry!C$3-([1]Industry!C$6-[1]Industry!C$70)</f>
        <v>49.866377345073261</v>
      </c>
      <c r="H820" s="1">
        <f>[1]Industry!D$3-([1]Industry!D$6-[1]Industry!D$70)</f>
        <v>51.114333024002313</v>
      </c>
      <c r="I820" s="1">
        <f>[1]Industry!E$3-([1]Industry!E$6-[1]Industry!E$70)</f>
        <v>51.645753814793792</v>
      </c>
      <c r="J820" s="1">
        <f>[1]Industry!F$3-([1]Industry!F$6-[1]Industry!F$70)</f>
        <v>50.22112557171144</v>
      </c>
      <c r="K820" s="1">
        <f>[1]Industry!G$3-([1]Industry!G$6-[1]Industry!G$70)</f>
        <v>51.570906519431126</v>
      </c>
    </row>
    <row r="821" spans="2:13" x14ac:dyDescent="0.35">
      <c r="B821" s="5" t="str">
        <f t="shared" si="582"/>
        <v>SPS1</v>
      </c>
      <c r="C821" s="5" t="str">
        <f t="shared" si="579"/>
        <v>CH</v>
      </c>
      <c r="D821" t="s">
        <v>2036</v>
      </c>
      <c r="E821" t="s">
        <v>8</v>
      </c>
      <c r="F821" s="1">
        <f>SUM(F822:F823)</f>
        <v>8.7635568030598066</v>
      </c>
      <c r="G821" s="1">
        <f t="shared" ref="G821:K821" si="583">SUM(G822:G823)</f>
        <v>7.8971790313637156</v>
      </c>
      <c r="H821" s="1">
        <f t="shared" si="583"/>
        <v>6.2440465853215033</v>
      </c>
      <c r="I821" s="1">
        <f t="shared" si="583"/>
        <v>4.9601924470698631</v>
      </c>
      <c r="J821" s="1">
        <f t="shared" si="583"/>
        <v>2.3506790363512722</v>
      </c>
      <c r="K821" s="1">
        <f t="shared" si="583"/>
        <v>0.17911851396159525</v>
      </c>
    </row>
    <row r="822" spans="2:13" x14ac:dyDescent="0.35">
      <c r="B822" s="5" t="str">
        <f t="shared" si="582"/>
        <v>SPS1</v>
      </c>
      <c r="C822" s="5" t="str">
        <f t="shared" si="579"/>
        <v>CH</v>
      </c>
      <c r="D822" t="s">
        <v>2037</v>
      </c>
      <c r="E822" t="s">
        <v>8</v>
      </c>
      <c r="F822" s="1">
        <f>[1]Industry!B$57</f>
        <v>6.9177265593736186</v>
      </c>
      <c r="G822" s="1">
        <f>[1]Industry!C$57</f>
        <v>6.3112697191921319</v>
      </c>
      <c r="H822" s="1">
        <f>[1]Industry!D$57</f>
        <v>6.2428106256344131</v>
      </c>
      <c r="I822" s="1">
        <f>[1]Industry!E$57</f>
        <v>4.9600430924292542</v>
      </c>
      <c r="J822" s="1">
        <f>[1]Industry!F$57</f>
        <v>2.3501113042320458</v>
      </c>
      <c r="K822" s="1">
        <f>[1]Industry!G$57</f>
        <v>0.17911851396159525</v>
      </c>
    </row>
    <row r="823" spans="2:13" x14ac:dyDescent="0.35">
      <c r="B823" s="5" t="str">
        <f t="shared" si="582"/>
        <v>SPS1</v>
      </c>
      <c r="C823" s="5" t="str">
        <f t="shared" si="579"/>
        <v>CH</v>
      </c>
      <c r="D823" t="s">
        <v>2038</v>
      </c>
      <c r="E823" t="s">
        <v>8</v>
      </c>
      <c r="F823" s="1">
        <f>[1]Industry!B$58</f>
        <v>1.8458302436861882</v>
      </c>
      <c r="G823" s="1">
        <f>[1]Industry!C$58</f>
        <v>1.5859093121715837</v>
      </c>
      <c r="H823" s="1">
        <f>[1]Industry!D$58</f>
        <v>1.2359596870898373E-3</v>
      </c>
      <c r="I823" s="1">
        <f>[1]Industry!E$58</f>
        <v>1.4935464060867009E-4</v>
      </c>
      <c r="J823" s="1">
        <f>[1]Industry!F$58</f>
        <v>5.677321192264572E-4</v>
      </c>
      <c r="K823" s="1">
        <f>[1]Industry!G$58</f>
        <v>0</v>
      </c>
    </row>
    <row r="824" spans="2:13" x14ac:dyDescent="0.35">
      <c r="B824" s="5" t="str">
        <f>B823</f>
        <v>SPS1</v>
      </c>
      <c r="C824" s="5" t="str">
        <f>C823</f>
        <v>CH</v>
      </c>
      <c r="D824" t="s">
        <v>2039</v>
      </c>
      <c r="E824" t="s">
        <v>8</v>
      </c>
      <c r="F824" s="1">
        <f>SUM(F825:F827)</f>
        <v>28.930300983391259</v>
      </c>
      <c r="G824" s="1">
        <f t="shared" ref="G824:K824" si="584">SUM(G825:G827)</f>
        <v>24.569905816078347</v>
      </c>
      <c r="H824" s="1">
        <f t="shared" si="584"/>
        <v>31.067971017963966</v>
      </c>
      <c r="I824" s="1">
        <f t="shared" si="584"/>
        <v>26.282793354630744</v>
      </c>
      <c r="J824" s="1">
        <f t="shared" si="584"/>
        <v>18.117096799723669</v>
      </c>
      <c r="K824" s="1">
        <f t="shared" si="584"/>
        <v>9.6769631498431874</v>
      </c>
    </row>
    <row r="825" spans="2:13" x14ac:dyDescent="0.35">
      <c r="B825" s="5" t="str">
        <f t="shared" ref="B825:B854" si="585">B824</f>
        <v>SPS1</v>
      </c>
      <c r="C825" s="5" t="str">
        <f t="shared" ref="C825:C854" si="586">C824</f>
        <v>CH</v>
      </c>
      <c r="D825" t="s">
        <v>2040</v>
      </c>
      <c r="E825" t="s">
        <v>8</v>
      </c>
      <c r="F825" s="1">
        <f>[1]Industry!B$59</f>
        <v>28.61977234410038</v>
      </c>
      <c r="G825" s="1">
        <f>[1]Industry!C$59</f>
        <v>24.177383294617876</v>
      </c>
      <c r="H825" s="1">
        <f>[1]Industry!D$59</f>
        <v>28.022541726884395</v>
      </c>
      <c r="I825" s="1">
        <f>[1]Industry!E$59</f>
        <v>20.320411611115635</v>
      </c>
      <c r="J825" s="1">
        <f>[1]Industry!F$59</f>
        <v>11.829385014123874</v>
      </c>
      <c r="K825" s="1">
        <f>[1]Industry!G$59</f>
        <v>2.3657658679988298</v>
      </c>
    </row>
    <row r="826" spans="2:13" x14ac:dyDescent="0.35">
      <c r="B826" s="5" t="str">
        <f t="shared" si="585"/>
        <v>SPS1</v>
      </c>
      <c r="C826" s="5" t="str">
        <f t="shared" si="586"/>
        <v>CH</v>
      </c>
      <c r="D826" t="s">
        <v>2041</v>
      </c>
      <c r="E826" t="s">
        <v>8</v>
      </c>
      <c r="F826" s="1">
        <f>[1]Industry!B$60</f>
        <v>0</v>
      </c>
      <c r="G826" s="1">
        <f>[1]Industry!C$60</f>
        <v>0</v>
      </c>
      <c r="H826" s="1">
        <f>[1]Industry!D$60</f>
        <v>9.1795676607248095E-3</v>
      </c>
      <c r="I826" s="1">
        <f>[1]Industry!E$60</f>
        <v>9.7237424967246012E-3</v>
      </c>
      <c r="J826" s="1">
        <f>[1]Industry!F$60</f>
        <v>1.0074904825540094E-2</v>
      </c>
      <c r="K826" s="1">
        <f>[1]Industry!G$60</f>
        <v>1.0080173367092847E-2</v>
      </c>
    </row>
    <row r="827" spans="2:13" x14ac:dyDescent="0.35">
      <c r="B827" s="5" t="str">
        <f t="shared" si="585"/>
        <v>SPS1</v>
      </c>
      <c r="C827" s="5" t="str">
        <f t="shared" si="586"/>
        <v>CH</v>
      </c>
      <c r="D827" t="s">
        <v>2042</v>
      </c>
      <c r="E827" t="s">
        <v>8</v>
      </c>
      <c r="F827" s="1">
        <f>[1]Industry!B$68</f>
        <v>0.31052863929088059</v>
      </c>
      <c r="G827" s="1">
        <f>[1]Industry!C$68</f>
        <v>0.39252252146046906</v>
      </c>
      <c r="H827" s="1">
        <f>[1]Industry!D$68</f>
        <v>3.0362497234188481</v>
      </c>
      <c r="I827" s="1">
        <f>[1]Industry!E$68</f>
        <v>5.9526580010183849</v>
      </c>
      <c r="J827" s="1">
        <f>[1]Industry!F$68</f>
        <v>6.2776368807742537</v>
      </c>
      <c r="K827" s="1">
        <f>[1]Industry!G$68</f>
        <v>7.3011171084772641</v>
      </c>
    </row>
    <row r="828" spans="2:13" x14ac:dyDescent="0.35">
      <c r="B828" s="5" t="str">
        <f t="shared" si="585"/>
        <v>SPS1</v>
      </c>
      <c r="C828" s="5" t="str">
        <f t="shared" si="586"/>
        <v>CH</v>
      </c>
      <c r="D828" t="s">
        <v>2043</v>
      </c>
      <c r="E828" t="s">
        <v>8</v>
      </c>
      <c r="F828" s="1">
        <f>F829</f>
        <v>2.3674180771328248</v>
      </c>
      <c r="G828" s="1">
        <f t="shared" ref="G828:K828" si="587">G829</f>
        <v>2.3075055946380938</v>
      </c>
      <c r="H828" s="1">
        <f t="shared" si="587"/>
        <v>0.73838257978367949</v>
      </c>
      <c r="I828" s="1">
        <f t="shared" si="587"/>
        <v>1.1240626836035131E-4</v>
      </c>
      <c r="J828" s="1">
        <f t="shared" si="587"/>
        <v>4.3744926530288618E-4</v>
      </c>
      <c r="K828" s="1">
        <f t="shared" si="587"/>
        <v>1.3696094668206056E-4</v>
      </c>
    </row>
    <row r="829" spans="2:13" x14ac:dyDescent="0.35">
      <c r="B829" s="5" t="str">
        <f t="shared" si="585"/>
        <v>SPS1</v>
      </c>
      <c r="C829" s="5" t="str">
        <f t="shared" si="586"/>
        <v>CH</v>
      </c>
      <c r="D829" t="s">
        <v>2044</v>
      </c>
      <c r="E829" t="s">
        <v>8</v>
      </c>
      <c r="F829" s="1">
        <f>[1]Industry!B$61</f>
        <v>2.3674180771328248</v>
      </c>
      <c r="G829" s="1">
        <f>[1]Industry!C$61</f>
        <v>2.3075055946380938</v>
      </c>
      <c r="H829" s="1">
        <f>[1]Industry!D$61</f>
        <v>0.73838257978367949</v>
      </c>
      <c r="I829" s="1">
        <f>[1]Industry!E$61</f>
        <v>1.1240626836035131E-4</v>
      </c>
      <c r="J829" s="1">
        <f>[1]Industry!F$61</f>
        <v>4.3744926530288618E-4</v>
      </c>
      <c r="K829" s="1">
        <f>[1]Industry!G$61</f>
        <v>1.3696094668206056E-4</v>
      </c>
    </row>
    <row r="830" spans="2:13" x14ac:dyDescent="0.35">
      <c r="B830" s="5" t="str">
        <f t="shared" si="585"/>
        <v>SPS1</v>
      </c>
      <c r="C830" s="5" t="str">
        <f t="shared" si="586"/>
        <v>CH</v>
      </c>
      <c r="D830" t="s">
        <v>2045</v>
      </c>
      <c r="E830" t="s">
        <v>8</v>
      </c>
      <c r="F830" s="1">
        <f>F831+F841</f>
        <v>11.767341120985652</v>
      </c>
      <c r="G830" s="1">
        <f t="shared" ref="G830:K830" si="588">G831+G841</f>
        <v>12.635411690593372</v>
      </c>
      <c r="H830" s="1">
        <f t="shared" si="588"/>
        <v>12.562319802788235</v>
      </c>
      <c r="I830" s="1">
        <f t="shared" si="588"/>
        <v>14.256264084502156</v>
      </c>
      <c r="J830" s="1">
        <f t="shared" si="588"/>
        <v>14.144278294568331</v>
      </c>
      <c r="K830" s="1">
        <f t="shared" si="588"/>
        <v>17.907808085227131</v>
      </c>
    </row>
    <row r="831" spans="2:13" x14ac:dyDescent="0.35">
      <c r="B831" s="5" t="str">
        <f t="shared" si="585"/>
        <v>SPS1</v>
      </c>
      <c r="C831" s="5" t="str">
        <f t="shared" si="586"/>
        <v>CH</v>
      </c>
      <c r="D831" t="s">
        <v>2046</v>
      </c>
      <c r="E831" t="s">
        <v>8</v>
      </c>
      <c r="F831" s="1">
        <f>[1]Industry!B$62</f>
        <v>5.1850617746033549</v>
      </c>
      <c r="G831" s="1">
        <f>[1]Industry!C$62</f>
        <v>5.5675613349658724</v>
      </c>
      <c r="H831" s="1">
        <f>[1]Industry!D$62</f>
        <v>5.6945350996910546</v>
      </c>
      <c r="I831" s="1">
        <f>[1]Industry!E$62</f>
        <v>7.2037825925867516</v>
      </c>
      <c r="J831" s="1">
        <f>[1]Industry!F$62</f>
        <v>8.1113362693944921</v>
      </c>
      <c r="K831" s="1">
        <f>[1]Industry!G$62</f>
        <v>11.176226588382503</v>
      </c>
      <c r="M831" s="1"/>
    </row>
    <row r="832" spans="2:13" x14ac:dyDescent="0.35">
      <c r="B832" s="5" t="str">
        <f t="shared" si="585"/>
        <v>SPS1</v>
      </c>
      <c r="C832" s="5" t="str">
        <f t="shared" si="586"/>
        <v>CH</v>
      </c>
      <c r="D832" t="s">
        <v>2047</v>
      </c>
      <c r="E832" t="s">
        <v>8</v>
      </c>
      <c r="F832" s="1">
        <f>IFERROR(F791/F$790,0)*F$831</f>
        <v>1.1226883828846097</v>
      </c>
      <c r="G832" s="1">
        <f t="shared" ref="G832:K832" si="589">IFERROR(G791/G$790,0)*G$831</f>
        <v>1.9726752021404577</v>
      </c>
      <c r="H832" s="1">
        <f t="shared" si="589"/>
        <v>0.10448965160788468</v>
      </c>
      <c r="I832" s="1">
        <f t="shared" si="589"/>
        <v>1.2486633682944765</v>
      </c>
      <c r="J832" s="1">
        <f t="shared" si="589"/>
        <v>0</v>
      </c>
      <c r="K832" s="1">
        <f t="shared" si="589"/>
        <v>0</v>
      </c>
    </row>
    <row r="833" spans="2:13" x14ac:dyDescent="0.35">
      <c r="B833" s="5" t="str">
        <f t="shared" si="585"/>
        <v>SPS1</v>
      </c>
      <c r="C833" s="5" t="str">
        <f t="shared" si="586"/>
        <v>CH</v>
      </c>
      <c r="D833" t="s">
        <v>2048</v>
      </c>
      <c r="E833" t="s">
        <v>8</v>
      </c>
      <c r="F833" s="1">
        <f t="shared" ref="F833:K840" si="590">IFERROR(F792/F$790,0)*F$831</f>
        <v>0.92840146368900511</v>
      </c>
      <c r="G833" s="1">
        <f t="shared" si="590"/>
        <v>9.6656417675658884E-2</v>
      </c>
      <c r="H833" s="1">
        <f t="shared" si="590"/>
        <v>5.488299728401895E-2</v>
      </c>
      <c r="I833" s="1">
        <f t="shared" si="590"/>
        <v>0.10949798015100522</v>
      </c>
      <c r="J833" s="1">
        <f t="shared" si="590"/>
        <v>0.70922326999742114</v>
      </c>
      <c r="K833" s="1">
        <f t="shared" si="590"/>
        <v>0.44392141114256845</v>
      </c>
    </row>
    <row r="834" spans="2:13" x14ac:dyDescent="0.35">
      <c r="B834" s="5" t="str">
        <f t="shared" si="585"/>
        <v>SPS1</v>
      </c>
      <c r="C834" s="5" t="str">
        <f t="shared" si="586"/>
        <v>CH</v>
      </c>
      <c r="D834" t="s">
        <v>2049</v>
      </c>
      <c r="E834" t="s">
        <v>8</v>
      </c>
      <c r="F834" s="1">
        <f t="shared" si="590"/>
        <v>0</v>
      </c>
      <c r="G834" s="1">
        <f t="shared" si="590"/>
        <v>0</v>
      </c>
      <c r="H834" s="1">
        <f t="shared" si="590"/>
        <v>0</v>
      </c>
      <c r="I834" s="1">
        <f t="shared" si="590"/>
        <v>0</v>
      </c>
      <c r="J834" s="1">
        <f t="shared" si="590"/>
        <v>1.9224384874890188E-3</v>
      </c>
      <c r="K834" s="1">
        <f t="shared" si="590"/>
        <v>0.25669620651599367</v>
      </c>
    </row>
    <row r="835" spans="2:13" x14ac:dyDescent="0.35">
      <c r="B835" s="5" t="str">
        <f t="shared" si="585"/>
        <v>SPS1</v>
      </c>
      <c r="C835" s="5" t="str">
        <f t="shared" si="586"/>
        <v>CH</v>
      </c>
      <c r="D835" t="s">
        <v>2050</v>
      </c>
      <c r="E835" t="s">
        <v>8</v>
      </c>
      <c r="F835" s="1">
        <f t="shared" si="590"/>
        <v>0</v>
      </c>
      <c r="G835" s="1">
        <f t="shared" si="590"/>
        <v>0</v>
      </c>
      <c r="H835" s="1">
        <f t="shared" si="590"/>
        <v>0</v>
      </c>
      <c r="I835" s="1">
        <f t="shared" si="590"/>
        <v>1.086275842374736E-4</v>
      </c>
      <c r="J835" s="1">
        <f t="shared" si="590"/>
        <v>1.1523103422433944E-3</v>
      </c>
      <c r="K835" s="1">
        <f t="shared" si="590"/>
        <v>3.9088309895250468E-4</v>
      </c>
    </row>
    <row r="836" spans="2:13" x14ac:dyDescent="0.35">
      <c r="B836" s="5" t="str">
        <f t="shared" si="585"/>
        <v>SPS1</v>
      </c>
      <c r="C836" s="5" t="str">
        <f t="shared" si="586"/>
        <v>CH</v>
      </c>
      <c r="D836" t="s">
        <v>2051</v>
      </c>
      <c r="E836" t="s">
        <v>8</v>
      </c>
      <c r="F836" s="1">
        <f t="shared" si="590"/>
        <v>2.33718272786215</v>
      </c>
      <c r="G836" s="1">
        <f t="shared" si="590"/>
        <v>1.7691314307734782</v>
      </c>
      <c r="H836" s="1">
        <f t="shared" si="590"/>
        <v>2.3981394323524197</v>
      </c>
      <c r="I836" s="1">
        <f t="shared" si="590"/>
        <v>2.1254899275158428</v>
      </c>
      <c r="J836" s="1">
        <f t="shared" si="590"/>
        <v>1.0374320019207552</v>
      </c>
      <c r="K836" s="1">
        <f t="shared" si="590"/>
        <v>1.9851220715345235E-4</v>
      </c>
    </row>
    <row r="837" spans="2:13" x14ac:dyDescent="0.35">
      <c r="B837" s="5" t="str">
        <f t="shared" si="585"/>
        <v>SPS1</v>
      </c>
      <c r="C837" s="5" t="str">
        <f t="shared" si="586"/>
        <v>CH</v>
      </c>
      <c r="D837" t="s">
        <v>2052</v>
      </c>
      <c r="E837" t="s">
        <v>8</v>
      </c>
      <c r="F837" s="1">
        <f t="shared" si="590"/>
        <v>0</v>
      </c>
      <c r="G837" s="1">
        <f t="shared" si="590"/>
        <v>0</v>
      </c>
      <c r="H837" s="1">
        <f t="shared" si="590"/>
        <v>0</v>
      </c>
      <c r="I837" s="1">
        <f t="shared" si="590"/>
        <v>0</v>
      </c>
      <c r="J837" s="1">
        <f t="shared" si="590"/>
        <v>0.47165720195473598</v>
      </c>
      <c r="K837" s="1">
        <f t="shared" si="590"/>
        <v>1.905662722947721</v>
      </c>
    </row>
    <row r="838" spans="2:13" x14ac:dyDescent="0.35">
      <c r="B838" s="5" t="str">
        <f t="shared" si="585"/>
        <v>SPS1</v>
      </c>
      <c r="C838" s="5" t="str">
        <f t="shared" si="586"/>
        <v>CH</v>
      </c>
      <c r="D838" t="s">
        <v>2053</v>
      </c>
      <c r="E838" t="s">
        <v>8</v>
      </c>
      <c r="F838" s="1">
        <f t="shared" si="590"/>
        <v>0.79678920016759025</v>
      </c>
      <c r="G838" s="1">
        <f t="shared" si="590"/>
        <v>1.7290982843762777</v>
      </c>
      <c r="H838" s="1">
        <f t="shared" si="590"/>
        <v>3.1370230184467318</v>
      </c>
      <c r="I838" s="1">
        <f t="shared" si="590"/>
        <v>3.7179153681350909</v>
      </c>
      <c r="J838" s="1">
        <f t="shared" si="590"/>
        <v>3.421044865921425</v>
      </c>
      <c r="K838" s="1">
        <f t="shared" si="590"/>
        <v>3.438132222676809</v>
      </c>
    </row>
    <row r="839" spans="2:13" x14ac:dyDescent="0.35">
      <c r="B839" s="5" t="str">
        <f t="shared" si="585"/>
        <v>SPS1</v>
      </c>
      <c r="C839" s="5" t="str">
        <f t="shared" si="586"/>
        <v>CH</v>
      </c>
      <c r="D839" t="s">
        <v>2054</v>
      </c>
      <c r="E839" t="s">
        <v>8</v>
      </c>
      <c r="F839" s="1">
        <f t="shared" si="590"/>
        <v>0</v>
      </c>
      <c r="G839" s="1">
        <f t="shared" si="590"/>
        <v>0</v>
      </c>
      <c r="H839" s="1">
        <f t="shared" si="590"/>
        <v>0</v>
      </c>
      <c r="I839" s="1">
        <f t="shared" si="590"/>
        <v>0</v>
      </c>
      <c r="J839" s="1">
        <f t="shared" si="590"/>
        <v>2.2353062579861356</v>
      </c>
      <c r="K839" s="1">
        <f t="shared" si="590"/>
        <v>4.9459132723052939</v>
      </c>
    </row>
    <row r="840" spans="2:13" x14ac:dyDescent="0.35">
      <c r="B840" s="5" t="str">
        <f t="shared" si="585"/>
        <v>SPS1</v>
      </c>
      <c r="C840" s="5" t="str">
        <f t="shared" si="586"/>
        <v>CH</v>
      </c>
      <c r="D840" t="s">
        <v>2055</v>
      </c>
      <c r="E840" t="s">
        <v>8</v>
      </c>
      <c r="F840" s="1">
        <f t="shared" si="590"/>
        <v>0</v>
      </c>
      <c r="G840" s="1">
        <f t="shared" si="590"/>
        <v>0</v>
      </c>
      <c r="H840" s="1">
        <f t="shared" si="590"/>
        <v>0</v>
      </c>
      <c r="I840" s="1">
        <f t="shared" si="590"/>
        <v>2.1073209060986785E-3</v>
      </c>
      <c r="J840" s="1">
        <f t="shared" si="590"/>
        <v>0.23359792278428634</v>
      </c>
      <c r="K840" s="1">
        <f t="shared" si="590"/>
        <v>0.18531135748801145</v>
      </c>
      <c r="M840" s="1"/>
    </row>
    <row r="841" spans="2:13" x14ac:dyDescent="0.35">
      <c r="B841" s="5" t="str">
        <f t="shared" si="585"/>
        <v>SPS1</v>
      </c>
      <c r="C841" s="5" t="str">
        <f t="shared" si="586"/>
        <v>CH</v>
      </c>
      <c r="D841" t="s">
        <v>2056</v>
      </c>
      <c r="E841" t="s">
        <v>8</v>
      </c>
      <c r="F841" s="1">
        <f>[1]Industry!B$63</f>
        <v>6.5822793463822977</v>
      </c>
      <c r="G841" s="1">
        <f>[1]Industry!C$63</f>
        <v>7.0678503556275007</v>
      </c>
      <c r="H841" s="1">
        <f>[1]Industry!D$63</f>
        <v>6.867784703097179</v>
      </c>
      <c r="I841" s="1">
        <f>[1]Industry!E$63</f>
        <v>7.0524814919154046</v>
      </c>
      <c r="J841" s="1">
        <f>[1]Industry!F$63</f>
        <v>6.0329420251738375</v>
      </c>
      <c r="K841" s="1">
        <f>[1]Industry!G$63</f>
        <v>6.7315814968446297</v>
      </c>
    </row>
    <row r="842" spans="2:13" x14ac:dyDescent="0.35">
      <c r="B842" s="5" t="str">
        <f t="shared" si="585"/>
        <v>SPS1</v>
      </c>
      <c r="C842" s="5" t="str">
        <f t="shared" si="586"/>
        <v>CH</v>
      </c>
      <c r="D842" t="s">
        <v>2057</v>
      </c>
      <c r="E842" t="s">
        <v>8</v>
      </c>
      <c r="F842" s="1">
        <f>F843</f>
        <v>5.3111380615497286</v>
      </c>
      <c r="G842" s="1">
        <f t="shared" ref="G842:K842" si="591">G843</f>
        <v>6.2669483662370835</v>
      </c>
      <c r="H842" s="1">
        <f t="shared" si="591"/>
        <v>3.4606840402711034</v>
      </c>
      <c r="I842" s="1">
        <f t="shared" si="591"/>
        <v>3.2421342783908758</v>
      </c>
      <c r="J842" s="1">
        <f t="shared" si="591"/>
        <v>4.1625572587247088</v>
      </c>
      <c r="K842" s="1">
        <f t="shared" si="591"/>
        <v>2.7109016782123905</v>
      </c>
    </row>
    <row r="843" spans="2:13" x14ac:dyDescent="0.35">
      <c r="B843" s="5" t="str">
        <f t="shared" si="585"/>
        <v>SPS1</v>
      </c>
      <c r="C843" s="5" t="str">
        <f t="shared" si="586"/>
        <v>CH</v>
      </c>
      <c r="D843" t="s">
        <v>2058</v>
      </c>
      <c r="E843" t="s">
        <v>8</v>
      </c>
      <c r="F843" s="1">
        <f>[1]Industry!B$64</f>
        <v>5.3111380615497286</v>
      </c>
      <c r="G843" s="1">
        <f>[1]Industry!C$64</f>
        <v>6.2669483662370835</v>
      </c>
      <c r="H843" s="1">
        <f>[1]Industry!D$64</f>
        <v>3.4606840402711034</v>
      </c>
      <c r="I843" s="1">
        <f>[1]Industry!E$64</f>
        <v>3.2421342783908758</v>
      </c>
      <c r="J843" s="1">
        <f>[1]Industry!F$64</f>
        <v>4.1625572587247088</v>
      </c>
      <c r="K843" s="1">
        <f>[1]Industry!G$64</f>
        <v>2.7109016782123905</v>
      </c>
    </row>
    <row r="844" spans="2:13" x14ac:dyDescent="0.35">
      <c r="B844" s="5" t="str">
        <f t="shared" si="585"/>
        <v>SPS1</v>
      </c>
      <c r="C844" s="5" t="str">
        <f t="shared" si="586"/>
        <v>CH</v>
      </c>
      <c r="D844" t="s">
        <v>2059</v>
      </c>
      <c r="E844" t="s">
        <v>8</v>
      </c>
      <c r="F844" s="1">
        <f>F845</f>
        <v>0.46152680078629754</v>
      </c>
      <c r="G844" s="1">
        <f t="shared" ref="G844:K844" si="592">G845</f>
        <v>0.54457829017193238</v>
      </c>
      <c r="H844" s="1">
        <f t="shared" si="592"/>
        <v>2.9109553466241236</v>
      </c>
      <c r="I844" s="1">
        <f t="shared" si="592"/>
        <v>3.0381232261001143</v>
      </c>
      <c r="J844" s="1">
        <f t="shared" si="592"/>
        <v>3.0381254733549601</v>
      </c>
      <c r="K844" s="1">
        <f t="shared" si="592"/>
        <v>3.0381252705710358</v>
      </c>
    </row>
    <row r="845" spans="2:13" x14ac:dyDescent="0.35">
      <c r="B845" s="5" t="str">
        <f t="shared" si="585"/>
        <v>SPS1</v>
      </c>
      <c r="C845" s="5" t="str">
        <f t="shared" si="586"/>
        <v>CH</v>
      </c>
      <c r="D845" t="s">
        <v>2060</v>
      </c>
      <c r="E845" t="s">
        <v>8</v>
      </c>
      <c r="F845" s="1">
        <f>[1]Industry!B$65</f>
        <v>0.46152680078629754</v>
      </c>
      <c r="G845" s="1">
        <f>[1]Industry!C$65</f>
        <v>0.54457829017193238</v>
      </c>
      <c r="H845" s="1">
        <f>[1]Industry!D$65</f>
        <v>2.9109553466241236</v>
      </c>
      <c r="I845" s="1">
        <f>[1]Industry!E$65</f>
        <v>3.0381232261001143</v>
      </c>
      <c r="J845" s="1">
        <f>[1]Industry!F$65</f>
        <v>3.0381254733549601</v>
      </c>
      <c r="K845" s="1">
        <f>[1]Industry!G$65</f>
        <v>3.0381252705710358</v>
      </c>
    </row>
    <row r="846" spans="2:13" x14ac:dyDescent="0.35">
      <c r="B846" s="5" t="str">
        <f t="shared" si="585"/>
        <v>SPS1</v>
      </c>
      <c r="C846" s="5" t="str">
        <f t="shared" si="586"/>
        <v>CH</v>
      </c>
      <c r="D846" t="s">
        <v>2061</v>
      </c>
      <c r="E846" t="s">
        <v>8</v>
      </c>
      <c r="F846" s="1">
        <f>F847</f>
        <v>4.1173741317874102</v>
      </c>
      <c r="G846" s="1">
        <f t="shared" ref="G846:K846" si="593">G847</f>
        <v>4.2663317015995368</v>
      </c>
      <c r="H846" s="1">
        <f t="shared" si="593"/>
        <v>2.9611974635128653</v>
      </c>
      <c r="I846" s="1">
        <f t="shared" si="593"/>
        <v>2.9281270615488753</v>
      </c>
      <c r="J846" s="1">
        <f t="shared" si="593"/>
        <v>2.8796278594633189</v>
      </c>
      <c r="K846" s="1">
        <f t="shared" si="593"/>
        <v>5.4190754080498489E-4</v>
      </c>
    </row>
    <row r="847" spans="2:13" x14ac:dyDescent="0.35">
      <c r="B847" s="5" t="str">
        <f t="shared" si="585"/>
        <v>SPS1</v>
      </c>
      <c r="C847" s="5" t="str">
        <f t="shared" si="586"/>
        <v>CH</v>
      </c>
      <c r="D847" t="s">
        <v>2062</v>
      </c>
      <c r="E847" t="s">
        <v>8</v>
      </c>
      <c r="F847" s="1">
        <f>[1]Industry!B$66</f>
        <v>4.1173741317874102</v>
      </c>
      <c r="G847" s="1">
        <f>[1]Industry!C$66</f>
        <v>4.2663317015995368</v>
      </c>
      <c r="H847" s="1">
        <f>[1]Industry!D$66</f>
        <v>2.9611974635128653</v>
      </c>
      <c r="I847" s="1">
        <f>[1]Industry!E$66</f>
        <v>2.9281270615488753</v>
      </c>
      <c r="J847" s="1">
        <f>[1]Industry!F$66</f>
        <v>2.8796278594633189</v>
      </c>
      <c r="K847" s="1">
        <f>[1]Industry!G$66</f>
        <v>5.4190754080498489E-4</v>
      </c>
    </row>
    <row r="848" spans="2:13" x14ac:dyDescent="0.35">
      <c r="B848" s="5" t="str">
        <f t="shared" si="585"/>
        <v>SPS1</v>
      </c>
      <c r="C848" s="5" t="str">
        <f t="shared" si="586"/>
        <v>CH</v>
      </c>
      <c r="D848" t="s">
        <v>2063</v>
      </c>
      <c r="E848" t="s">
        <v>8</v>
      </c>
      <c r="F848" s="1">
        <f>F849</f>
        <v>6.7668994804272242E-2</v>
      </c>
      <c r="G848" s="1">
        <f t="shared" ref="G848:K848" si="594">G849</f>
        <v>8.5497785886961844E-2</v>
      </c>
      <c r="H848" s="1">
        <f t="shared" si="594"/>
        <v>8.4471828299331891E-2</v>
      </c>
      <c r="I848" s="1">
        <f t="shared" si="594"/>
        <v>8.579246010832263E-2</v>
      </c>
      <c r="J848" s="1">
        <f t="shared" si="594"/>
        <v>5.8900805200172872E-2</v>
      </c>
      <c r="K848" s="1">
        <f t="shared" si="594"/>
        <v>5.3138093429456315E-2</v>
      </c>
    </row>
    <row r="849" spans="2:11" x14ac:dyDescent="0.35">
      <c r="B849" s="5" t="str">
        <f t="shared" si="585"/>
        <v>SPS1</v>
      </c>
      <c r="C849" s="5" t="str">
        <f t="shared" si="586"/>
        <v>CH</v>
      </c>
      <c r="D849" t="s">
        <v>2064</v>
      </c>
      <c r="E849" t="s">
        <v>8</v>
      </c>
      <c r="F849" s="1">
        <f>[1]Industry!B$67</f>
        <v>6.7668994804272242E-2</v>
      </c>
      <c r="G849" s="1">
        <f>[1]Industry!C$67</f>
        <v>8.5497785886961844E-2</v>
      </c>
      <c r="H849" s="1">
        <f>[1]Industry!D$67</f>
        <v>8.4471828299331891E-2</v>
      </c>
      <c r="I849" s="1">
        <f>[1]Industry!E$67</f>
        <v>8.579246010832263E-2</v>
      </c>
      <c r="J849" s="1">
        <f>[1]Industry!F$67</f>
        <v>5.8900805200172872E-2</v>
      </c>
      <c r="K849" s="1">
        <f>[1]Industry!G$67</f>
        <v>5.3138093429456315E-2</v>
      </c>
    </row>
    <row r="850" spans="2:11" x14ac:dyDescent="0.35">
      <c r="B850" s="5" t="str">
        <f t="shared" si="585"/>
        <v>SPS1</v>
      </c>
      <c r="C850" s="5" t="str">
        <f t="shared" si="586"/>
        <v>CH</v>
      </c>
      <c r="D850" t="s">
        <v>2065</v>
      </c>
      <c r="E850" t="s">
        <v>8</v>
      </c>
      <c r="F850" s="1">
        <f>F851</f>
        <v>0</v>
      </c>
      <c r="G850" s="1">
        <f t="shared" ref="G850:K850" si="595">G851</f>
        <v>0</v>
      </c>
      <c r="H850" s="1">
        <f t="shared" si="595"/>
        <v>0</v>
      </c>
      <c r="I850" s="1">
        <f t="shared" si="595"/>
        <v>1.9253971967288914E-2</v>
      </c>
      <c r="J850" s="1">
        <f t="shared" si="595"/>
        <v>3.8990125029736586</v>
      </c>
      <c r="K850" s="1">
        <f t="shared" si="595"/>
        <v>15.361460793344596</v>
      </c>
    </row>
    <row r="851" spans="2:11" x14ac:dyDescent="0.35">
      <c r="B851" s="5" t="str">
        <f t="shared" si="585"/>
        <v>SPS1</v>
      </c>
      <c r="C851" s="5" t="str">
        <f t="shared" si="586"/>
        <v>CH</v>
      </c>
      <c r="D851" t="s">
        <v>2066</v>
      </c>
      <c r="E851" t="s">
        <v>8</v>
      </c>
      <c r="F851" s="1">
        <f>[1]Industry!B$69</f>
        <v>0</v>
      </c>
      <c r="G851" s="1">
        <f>[1]Industry!C$69</f>
        <v>0</v>
      </c>
      <c r="H851" s="1">
        <f>[1]Industry!D$69</f>
        <v>0</v>
      </c>
      <c r="I851" s="1">
        <f>[1]Industry!E$69</f>
        <v>1.9253971967288914E-2</v>
      </c>
      <c r="J851" s="1">
        <f>[1]Industry!F$69</f>
        <v>3.8990125029736586</v>
      </c>
      <c r="K851" s="1">
        <f>[1]Industry!G$69</f>
        <v>15.361460793344596</v>
      </c>
    </row>
    <row r="852" spans="2:11" x14ac:dyDescent="0.35">
      <c r="B852" s="5" t="str">
        <f t="shared" si="585"/>
        <v>SPS1</v>
      </c>
      <c r="C852" s="5" t="str">
        <f t="shared" si="586"/>
        <v>CH</v>
      </c>
      <c r="D852" t="s">
        <v>2067</v>
      </c>
      <c r="E852" t="s">
        <v>8</v>
      </c>
      <c r="F852" s="1">
        <f>SUM(F853:F854)</f>
        <v>0</v>
      </c>
      <c r="G852" s="1">
        <f t="shared" ref="G852:K852" si="596">SUM(G853:G854)</f>
        <v>4.8942390698885392</v>
      </c>
      <c r="H852" s="1">
        <f t="shared" si="596"/>
        <v>4.8942434530590369</v>
      </c>
      <c r="I852" s="1">
        <f t="shared" si="596"/>
        <v>7.8244243338263564</v>
      </c>
      <c r="J852" s="1">
        <f t="shared" si="596"/>
        <v>18.066935185509156</v>
      </c>
      <c r="K852" s="1">
        <f t="shared" si="596"/>
        <v>18.45733534604987</v>
      </c>
    </row>
    <row r="853" spans="2:11" x14ac:dyDescent="0.35">
      <c r="B853" s="5" t="str">
        <f t="shared" si="585"/>
        <v>SPS1</v>
      </c>
      <c r="C853" s="5" t="str">
        <f t="shared" si="586"/>
        <v>CH</v>
      </c>
      <c r="D853" t="s">
        <v>2068</v>
      </c>
      <c r="E853" t="s">
        <v>8</v>
      </c>
      <c r="F853" s="1">
        <f>[1]Industry!B$6-F854</f>
        <v>0</v>
      </c>
      <c r="G853" s="1">
        <f>[1]Industry!C$6-G854</f>
        <v>0.85060238654067266</v>
      </c>
      <c r="H853" s="1">
        <f>[1]Industry!D$6-H854</f>
        <v>0.85060314832105011</v>
      </c>
      <c r="I853" s="1">
        <f>[1]Industry!E$6-I854</f>
        <v>1.8509397937394887</v>
      </c>
      <c r="J853" s="1">
        <f>[1]Industry!F$6-J854</f>
        <v>4.794484021821237</v>
      </c>
      <c r="K853" s="1">
        <f>[1]Industry!G$6-K854</f>
        <v>4.8349487575850247</v>
      </c>
    </row>
    <row r="854" spans="2:11" x14ac:dyDescent="0.35">
      <c r="B854" s="5" t="str">
        <f t="shared" si="585"/>
        <v>SPS1</v>
      </c>
      <c r="C854" s="5" t="str">
        <f t="shared" si="586"/>
        <v>CH</v>
      </c>
      <c r="D854" t="s">
        <v>2069</v>
      </c>
      <c r="E854" t="s">
        <v>8</v>
      </c>
      <c r="F854" s="1">
        <f>[1]Industry!B$70</f>
        <v>0</v>
      </c>
      <c r="G854" s="1">
        <f>[1]Industry!C$70</f>
        <v>4.0436366833478665</v>
      </c>
      <c r="H854" s="1">
        <f>[1]Industry!D$70</f>
        <v>4.0436403047379867</v>
      </c>
      <c r="I854" s="1">
        <f>[1]Industry!E$70</f>
        <v>5.9734845400868677</v>
      </c>
      <c r="J854" s="1">
        <f>[1]Industry!F$70</f>
        <v>13.272451163687919</v>
      </c>
      <c r="K854" s="1">
        <f>[1]Industry!G$70</f>
        <v>13.622386588464845</v>
      </c>
    </row>
    <row r="855" spans="2:11" x14ac:dyDescent="0.35">
      <c r="B855" s="9" t="str">
        <f>B854</f>
        <v>SPS1</v>
      </c>
      <c r="C855" s="9" t="str">
        <f>C854</f>
        <v>CH</v>
      </c>
      <c r="D855" s="2" t="s">
        <v>687</v>
      </c>
      <c r="E855" s="2" t="s">
        <v>240</v>
      </c>
      <c r="F855" s="1" t="s">
        <v>292</v>
      </c>
      <c r="G855" s="1" t="s">
        <v>292</v>
      </c>
      <c r="H855" s="1" t="s">
        <v>292</v>
      </c>
      <c r="I855" s="1" t="s">
        <v>292</v>
      </c>
      <c r="J855" s="1" t="s">
        <v>292</v>
      </c>
      <c r="K855" s="1" t="s">
        <v>292</v>
      </c>
    </row>
    <row r="856" spans="2:11" x14ac:dyDescent="0.35">
      <c r="B856" s="5" t="str">
        <f>B855</f>
        <v>SPS1</v>
      </c>
      <c r="C856" s="5" t="str">
        <f>C855</f>
        <v>CH</v>
      </c>
      <c r="D856" t="s">
        <v>2070</v>
      </c>
      <c r="E856" t="s">
        <v>240</v>
      </c>
      <c r="F856" s="4">
        <f>IFERROR(F818/F763,"-")</f>
        <v>0.84261542941328327</v>
      </c>
      <c r="G856" s="4">
        <f t="shared" ref="G856:K856" si="597">IFERROR(G818/G763,"-")</f>
        <v>0.843062365139854</v>
      </c>
      <c r="H856" s="4">
        <f t="shared" si="597"/>
        <v>0.84373276872970526</v>
      </c>
      <c r="I856" s="4">
        <f t="shared" si="597"/>
        <v>0.84485010804613014</v>
      </c>
      <c r="J856" s="4">
        <f t="shared" si="597"/>
        <v>0.84708478667897669</v>
      </c>
      <c r="K856" s="4">
        <f t="shared" si="597"/>
        <v>0.84931946531182367</v>
      </c>
    </row>
    <row r="857" spans="2:11" x14ac:dyDescent="0.35">
      <c r="B857" s="5" t="str">
        <f t="shared" ref="B857:B879" si="598">B856</f>
        <v>SPS1</v>
      </c>
      <c r="C857" s="5" t="str">
        <f t="shared" ref="C857:C879" si="599">C856</f>
        <v>CH</v>
      </c>
      <c r="D857" t="s">
        <v>2071</v>
      </c>
      <c r="E857" t="s">
        <v>240</v>
      </c>
      <c r="F857" s="4">
        <f t="shared" ref="F857:K857" si="600">IFERROR(F819/F764,"-")</f>
        <v>3.0809801822513325</v>
      </c>
      <c r="G857" s="4">
        <f t="shared" si="600"/>
        <v>3.1055374774069109</v>
      </c>
      <c r="H857" s="4">
        <f t="shared" si="600"/>
        <v>3.1423734201402862</v>
      </c>
      <c r="I857" s="4">
        <f t="shared" si="600"/>
        <v>3.203766658029251</v>
      </c>
      <c r="J857" s="4">
        <f t="shared" si="600"/>
        <v>3.3265531338071725</v>
      </c>
      <c r="K857" s="4">
        <f t="shared" si="600"/>
        <v>3.4493396095850906</v>
      </c>
    </row>
    <row r="858" spans="2:11" x14ac:dyDescent="0.35">
      <c r="B858" s="5" t="str">
        <f t="shared" si="598"/>
        <v>SPS1</v>
      </c>
      <c r="C858" s="5" t="str">
        <f t="shared" si="599"/>
        <v>CH</v>
      </c>
      <c r="D858" t="s">
        <v>2072</v>
      </c>
      <c r="E858" t="s">
        <v>240</v>
      </c>
      <c r="F858" s="4">
        <f t="shared" ref="F858:K858" si="601">IFERROR(F820/F765,"-")</f>
        <v>1</v>
      </c>
      <c r="G858" s="4">
        <f t="shared" si="601"/>
        <v>0.9999999560895324</v>
      </c>
      <c r="H858" s="4">
        <f t="shared" si="601"/>
        <v>0.99999995994456603</v>
      </c>
      <c r="I858" s="4">
        <f t="shared" si="601"/>
        <v>1.0000011591084177</v>
      </c>
      <c r="J858" s="4">
        <f t="shared" si="601"/>
        <v>1.0005666093133474</v>
      </c>
      <c r="K858" s="4">
        <f t="shared" si="601"/>
        <v>0.96144358607568092</v>
      </c>
    </row>
    <row r="859" spans="2:11" x14ac:dyDescent="0.35">
      <c r="B859" s="5" t="str">
        <f t="shared" si="598"/>
        <v>SPS1</v>
      </c>
      <c r="C859" s="5" t="str">
        <f t="shared" si="599"/>
        <v>CH</v>
      </c>
      <c r="D859" t="s">
        <v>2073</v>
      </c>
      <c r="E859" t="s">
        <v>240</v>
      </c>
      <c r="F859" s="4">
        <f>IFERROR(F822/F767,"-")</f>
        <v>0.77746213224363458</v>
      </c>
      <c r="G859" s="4">
        <f t="shared" ref="G859:K860" si="602">IFERROR(G822/G767,"-")</f>
        <v>0.77871988564932304</v>
      </c>
      <c r="H859" s="4">
        <f t="shared" si="602"/>
        <v>0.78060651575785633</v>
      </c>
      <c r="I859" s="4">
        <f t="shared" si="602"/>
        <v>0.78375089927207653</v>
      </c>
      <c r="J859" s="4">
        <f t="shared" si="602"/>
        <v>0.79003966630051936</v>
      </c>
      <c r="K859" s="4">
        <f t="shared" si="602"/>
        <v>0.79632843332896086</v>
      </c>
    </row>
    <row r="860" spans="2:11" x14ac:dyDescent="0.35">
      <c r="B860" s="5" t="str">
        <f t="shared" si="598"/>
        <v>SPS1</v>
      </c>
      <c r="C860" s="5" t="str">
        <f t="shared" si="599"/>
        <v>CH</v>
      </c>
      <c r="D860" t="s">
        <v>2074</v>
      </c>
      <c r="E860" t="s">
        <v>240</v>
      </c>
      <c r="F860" s="4">
        <f>IFERROR(F823/F768,"-")</f>
        <v>0.67612499999999998</v>
      </c>
      <c r="G860" s="4">
        <f t="shared" si="602"/>
        <v>0.67904999999999993</v>
      </c>
      <c r="H860" s="4">
        <f t="shared" si="602"/>
        <v>0.68343749999999914</v>
      </c>
      <c r="I860" s="4">
        <f t="shared" si="602"/>
        <v>0.69075000000000064</v>
      </c>
      <c r="J860" s="4">
        <f t="shared" si="602"/>
        <v>0.70537500000000031</v>
      </c>
      <c r="K860" s="4" t="str">
        <f t="shared" si="602"/>
        <v>-</v>
      </c>
    </row>
    <row r="861" spans="2:11" x14ac:dyDescent="0.35">
      <c r="B861" s="5" t="str">
        <f t="shared" si="598"/>
        <v>SPS1</v>
      </c>
      <c r="C861" s="5" t="str">
        <f t="shared" si="599"/>
        <v>CH</v>
      </c>
      <c r="D861" t="s">
        <v>2075</v>
      </c>
      <c r="E861" t="s">
        <v>240</v>
      </c>
      <c r="F861" s="4">
        <f>IFERROR(F825/F777,"-")</f>
        <v>0.80511764158373011</v>
      </c>
      <c r="G861" s="4">
        <f t="shared" ref="G861:K863" si="603">IFERROR(G825/G777,"-")</f>
        <v>0.80583875174291242</v>
      </c>
      <c r="H861" s="4">
        <f t="shared" si="603"/>
        <v>0.80665182282406889</v>
      </c>
      <c r="I861" s="4">
        <f t="shared" si="603"/>
        <v>0.80918209509289107</v>
      </c>
      <c r="J861" s="4">
        <f t="shared" si="603"/>
        <v>0.82262255407659191</v>
      </c>
      <c r="K861" s="4">
        <f t="shared" si="603"/>
        <v>0.83931343684460158</v>
      </c>
    </row>
    <row r="862" spans="2:11" x14ac:dyDescent="0.35">
      <c r="B862" s="5" t="str">
        <f t="shared" si="598"/>
        <v>SPS1</v>
      </c>
      <c r="C862" s="5" t="str">
        <f t="shared" si="599"/>
        <v>CH</v>
      </c>
      <c r="D862" t="s">
        <v>2076</v>
      </c>
      <c r="E862" t="s">
        <v>240</v>
      </c>
      <c r="F862" s="4">
        <f>IFERROR(F826/F778,"-")</f>
        <v>0</v>
      </c>
      <c r="G862" s="4">
        <f t="shared" si="603"/>
        <v>0</v>
      </c>
      <c r="H862" s="4" t="str">
        <f t="shared" si="603"/>
        <v>-</v>
      </c>
      <c r="I862" s="4" t="str">
        <f t="shared" si="603"/>
        <v>-</v>
      </c>
      <c r="J862" s="4" t="str">
        <f t="shared" si="603"/>
        <v>-</v>
      </c>
      <c r="K862" s="4" t="str">
        <f t="shared" si="603"/>
        <v>-</v>
      </c>
    </row>
    <row r="863" spans="2:11" x14ac:dyDescent="0.35">
      <c r="B863" s="5" t="str">
        <f t="shared" si="598"/>
        <v>SPS1</v>
      </c>
      <c r="C863" s="5" t="str">
        <f t="shared" si="599"/>
        <v>CH</v>
      </c>
      <c r="D863" t="s">
        <v>2077</v>
      </c>
      <c r="E863" t="s">
        <v>240</v>
      </c>
      <c r="F863" s="4">
        <f>IFERROR(F827/F779,"-")</f>
        <v>0.70287651819291674</v>
      </c>
      <c r="G863" s="4">
        <f t="shared" si="603"/>
        <v>0.70478214330627398</v>
      </c>
      <c r="H863" s="4">
        <f t="shared" si="603"/>
        <v>0.71100000000000085</v>
      </c>
      <c r="I863" s="4">
        <f t="shared" si="603"/>
        <v>0.71099999999999952</v>
      </c>
      <c r="J863" s="4">
        <f t="shared" si="603"/>
        <v>0.71099999999999985</v>
      </c>
      <c r="K863" s="4">
        <f t="shared" si="603"/>
        <v>0.71999999999999986</v>
      </c>
    </row>
    <row r="864" spans="2:11" x14ac:dyDescent="0.35">
      <c r="B864" s="5" t="str">
        <f t="shared" si="598"/>
        <v>SPS1</v>
      </c>
      <c r="C864" s="5" t="str">
        <f t="shared" si="599"/>
        <v>CH</v>
      </c>
      <c r="D864" t="s">
        <v>2078</v>
      </c>
      <c r="E864" t="s">
        <v>240</v>
      </c>
      <c r="F864" s="4">
        <f>IFERROR(F829/F788,"-")</f>
        <v>0.66499999999999981</v>
      </c>
      <c r="G864" s="4">
        <f t="shared" ref="G864:K864" si="604">IFERROR(G829/G788,"-")</f>
        <v>0.66600000000000004</v>
      </c>
      <c r="H864" s="4">
        <f t="shared" si="604"/>
        <v>0.66750000000000043</v>
      </c>
      <c r="I864" s="4">
        <f t="shared" si="604"/>
        <v>0.67000000000000071</v>
      </c>
      <c r="J864" s="4">
        <f t="shared" si="604"/>
        <v>0.67500000000000004</v>
      </c>
      <c r="K864" s="4">
        <f t="shared" si="604"/>
        <v>0.67999999999999983</v>
      </c>
    </row>
    <row r="865" spans="2:12" x14ac:dyDescent="0.35">
      <c r="B865" s="5" t="str">
        <f t="shared" si="598"/>
        <v>SPS1</v>
      </c>
      <c r="C865" s="5" t="str">
        <f t="shared" si="599"/>
        <v>CH</v>
      </c>
      <c r="D865" t="s">
        <v>2079</v>
      </c>
      <c r="E865" t="s">
        <v>240</v>
      </c>
      <c r="F865" s="4">
        <f>IFERROR(F832/F791,"-")</f>
        <v>1.2079433598757991</v>
      </c>
      <c r="G865" s="4">
        <f t="shared" ref="G865:K865" si="605">IFERROR(G832/G791,"-")</f>
        <v>0.95176944131516605</v>
      </c>
      <c r="H865" s="4">
        <f t="shared" si="605"/>
        <v>0.94033788355473868</v>
      </c>
      <c r="I865" s="4">
        <f t="shared" si="605"/>
        <v>0.94746527640887601</v>
      </c>
      <c r="J865" s="4" t="str">
        <f t="shared" si="605"/>
        <v>-</v>
      </c>
      <c r="K865" s="4" t="str">
        <f t="shared" si="605"/>
        <v>-</v>
      </c>
    </row>
    <row r="866" spans="2:12" x14ac:dyDescent="0.35">
      <c r="B866" s="5" t="str">
        <f t="shared" si="598"/>
        <v>SPS1</v>
      </c>
      <c r="C866" s="5" t="str">
        <f t="shared" si="599"/>
        <v>CH</v>
      </c>
      <c r="D866" t="s">
        <v>2080</v>
      </c>
      <c r="E866" t="s">
        <v>240</v>
      </c>
      <c r="F866" s="4">
        <f t="shared" ref="F866:K874" si="606">IFERROR(F833/F792,"-")</f>
        <v>1.2079433598757991</v>
      </c>
      <c r="G866" s="4">
        <f t="shared" si="606"/>
        <v>0.95176944131516583</v>
      </c>
      <c r="H866" s="4">
        <f t="shared" si="606"/>
        <v>0.94033788355473846</v>
      </c>
      <c r="I866" s="4">
        <f t="shared" si="606"/>
        <v>0.9474652764088759</v>
      </c>
      <c r="J866" s="4">
        <f t="shared" si="606"/>
        <v>0.94098205651444777</v>
      </c>
      <c r="K866" s="4">
        <f t="shared" si="606"/>
        <v>0.94755866473668138</v>
      </c>
    </row>
    <row r="867" spans="2:12" x14ac:dyDescent="0.35">
      <c r="B867" s="5" t="str">
        <f t="shared" si="598"/>
        <v>SPS1</v>
      </c>
      <c r="C867" s="5" t="str">
        <f t="shared" si="599"/>
        <v>CH</v>
      </c>
      <c r="D867" t="s">
        <v>2081</v>
      </c>
      <c r="E867" t="s">
        <v>240</v>
      </c>
      <c r="F867" s="4" t="str">
        <f t="shared" si="606"/>
        <v>-</v>
      </c>
      <c r="G867" s="4" t="str">
        <f t="shared" si="606"/>
        <v>-</v>
      </c>
      <c r="H867" s="4" t="str">
        <f t="shared" si="606"/>
        <v>-</v>
      </c>
      <c r="I867" s="4" t="str">
        <f t="shared" si="606"/>
        <v>-</v>
      </c>
      <c r="J867" s="4">
        <f t="shared" si="606"/>
        <v>0.94098205651444777</v>
      </c>
      <c r="K867" s="4">
        <f t="shared" si="606"/>
        <v>0.94755866473668127</v>
      </c>
    </row>
    <row r="868" spans="2:12" x14ac:dyDescent="0.35">
      <c r="B868" s="5" t="str">
        <f t="shared" si="598"/>
        <v>SPS1</v>
      </c>
      <c r="C868" s="5" t="str">
        <f t="shared" si="599"/>
        <v>CH</v>
      </c>
      <c r="D868" t="s">
        <v>2082</v>
      </c>
      <c r="E868" t="s">
        <v>240</v>
      </c>
      <c r="F868" s="4" t="str">
        <f t="shared" si="606"/>
        <v>-</v>
      </c>
      <c r="G868" s="4" t="str">
        <f t="shared" si="606"/>
        <v>-</v>
      </c>
      <c r="H868" s="4" t="str">
        <f t="shared" si="606"/>
        <v>-</v>
      </c>
      <c r="I868" s="4">
        <f t="shared" si="606"/>
        <v>0.94746527640887601</v>
      </c>
      <c r="J868" s="4">
        <f t="shared" si="606"/>
        <v>0.94098205651444777</v>
      </c>
      <c r="K868" s="4">
        <f t="shared" si="606"/>
        <v>0.94755866473668127</v>
      </c>
    </row>
    <row r="869" spans="2:12" x14ac:dyDescent="0.35">
      <c r="B869" s="5" t="str">
        <f t="shared" si="598"/>
        <v>SPS1</v>
      </c>
      <c r="C869" s="5" t="str">
        <f t="shared" si="599"/>
        <v>CH</v>
      </c>
      <c r="D869" t="s">
        <v>2083</v>
      </c>
      <c r="E869" t="s">
        <v>240</v>
      </c>
      <c r="F869" s="4">
        <f t="shared" si="606"/>
        <v>1.2079433598757994</v>
      </c>
      <c r="G869" s="4">
        <f t="shared" si="606"/>
        <v>0.95176944131516594</v>
      </c>
      <c r="H869" s="4">
        <f t="shared" si="606"/>
        <v>0.94033788355473868</v>
      </c>
      <c r="I869" s="4">
        <f t="shared" si="606"/>
        <v>0.94746527640887579</v>
      </c>
      <c r="J869" s="4">
        <f t="shared" si="606"/>
        <v>0.94098205651444788</v>
      </c>
      <c r="K869" s="4">
        <f t="shared" si="606"/>
        <v>0.94755866473668138</v>
      </c>
    </row>
    <row r="870" spans="2:12" x14ac:dyDescent="0.35">
      <c r="B870" s="5" t="str">
        <f t="shared" si="598"/>
        <v>SPS1</v>
      </c>
      <c r="C870" s="5" t="str">
        <f t="shared" si="599"/>
        <v>CH</v>
      </c>
      <c r="D870" t="s">
        <v>2084</v>
      </c>
      <c r="E870" t="s">
        <v>240</v>
      </c>
      <c r="F870" s="4" t="str">
        <f t="shared" si="606"/>
        <v>-</v>
      </c>
      <c r="G870" s="4" t="str">
        <f t="shared" si="606"/>
        <v>-</v>
      </c>
      <c r="H870" s="4" t="str">
        <f t="shared" si="606"/>
        <v>-</v>
      </c>
      <c r="I870" s="4" t="str">
        <f t="shared" si="606"/>
        <v>-</v>
      </c>
      <c r="J870" s="4">
        <f t="shared" si="606"/>
        <v>0.94098205651444777</v>
      </c>
      <c r="K870" s="4">
        <f t="shared" si="606"/>
        <v>0.94755866473668127</v>
      </c>
    </row>
    <row r="871" spans="2:12" x14ac:dyDescent="0.35">
      <c r="B871" s="5" t="str">
        <f t="shared" si="598"/>
        <v>SPS1</v>
      </c>
      <c r="C871" s="5" t="str">
        <f t="shared" si="599"/>
        <v>CH</v>
      </c>
      <c r="D871" t="s">
        <v>2085</v>
      </c>
      <c r="E871" t="s">
        <v>240</v>
      </c>
      <c r="F871" s="4">
        <f t="shared" si="606"/>
        <v>1.2079433598757991</v>
      </c>
      <c r="G871" s="4">
        <f t="shared" si="606"/>
        <v>0.95176944131516594</v>
      </c>
      <c r="H871" s="4">
        <f t="shared" si="606"/>
        <v>0.94033788355473846</v>
      </c>
      <c r="I871" s="4">
        <f t="shared" si="606"/>
        <v>0.94746527640887579</v>
      </c>
      <c r="J871" s="4">
        <f t="shared" si="606"/>
        <v>0.94098205651444777</v>
      </c>
      <c r="K871" s="4">
        <f t="shared" si="606"/>
        <v>0.94755866473668138</v>
      </c>
    </row>
    <row r="872" spans="2:12" x14ac:dyDescent="0.35">
      <c r="B872" s="5" t="str">
        <f t="shared" si="598"/>
        <v>SPS1</v>
      </c>
      <c r="C872" s="5" t="str">
        <f t="shared" si="599"/>
        <v>CH</v>
      </c>
      <c r="D872" t="s">
        <v>2086</v>
      </c>
      <c r="E872" t="s">
        <v>240</v>
      </c>
      <c r="F872" s="4" t="str">
        <f t="shared" si="606"/>
        <v>-</v>
      </c>
      <c r="G872" s="4" t="str">
        <f t="shared" si="606"/>
        <v>-</v>
      </c>
      <c r="H872" s="4" t="str">
        <f t="shared" si="606"/>
        <v>-</v>
      </c>
      <c r="I872" s="4" t="str">
        <f t="shared" si="606"/>
        <v>-</v>
      </c>
      <c r="J872" s="4">
        <f t="shared" si="606"/>
        <v>0.94098205651444755</v>
      </c>
      <c r="K872" s="4">
        <f t="shared" si="606"/>
        <v>0.94755866473668127</v>
      </c>
    </row>
    <row r="873" spans="2:12" x14ac:dyDescent="0.35">
      <c r="B873" s="5" t="str">
        <f t="shared" si="598"/>
        <v>SPS1</v>
      </c>
      <c r="C873" s="5" t="str">
        <f t="shared" si="599"/>
        <v>CH</v>
      </c>
      <c r="D873" t="s">
        <v>2087</v>
      </c>
      <c r="E873" t="s">
        <v>240</v>
      </c>
      <c r="F873" s="4" t="str">
        <f t="shared" si="606"/>
        <v>-</v>
      </c>
      <c r="G873" s="4" t="str">
        <f t="shared" si="606"/>
        <v>-</v>
      </c>
      <c r="H873" s="4" t="str">
        <f t="shared" si="606"/>
        <v>-</v>
      </c>
      <c r="I873" s="4">
        <f t="shared" si="606"/>
        <v>0.9474652764088759</v>
      </c>
      <c r="J873" s="4">
        <f t="shared" si="606"/>
        <v>0.94098205651444777</v>
      </c>
      <c r="K873" s="4">
        <f t="shared" si="606"/>
        <v>0.94755866473668127</v>
      </c>
    </row>
    <row r="874" spans="2:12" x14ac:dyDescent="0.35">
      <c r="B874" s="5" t="str">
        <f t="shared" si="598"/>
        <v>SPS1</v>
      </c>
      <c r="C874" s="5" t="str">
        <f t="shared" si="599"/>
        <v>CH</v>
      </c>
      <c r="D874" t="s">
        <v>2088</v>
      </c>
      <c r="E874" t="s">
        <v>240</v>
      </c>
      <c r="F874" s="4">
        <f t="shared" si="606"/>
        <v>0.92447626236575065</v>
      </c>
      <c r="G874" s="4">
        <f t="shared" si="606"/>
        <v>0.92645636412827248</v>
      </c>
      <c r="H874" s="4">
        <f t="shared" si="606"/>
        <v>0.92942651677205468</v>
      </c>
      <c r="I874" s="4">
        <f t="shared" si="606"/>
        <v>0.93437677117835716</v>
      </c>
      <c r="J874" s="4">
        <f t="shared" si="606"/>
        <v>0.94427727999096622</v>
      </c>
      <c r="K874" s="4">
        <f>IFERROR(K841/K800,"-")</f>
        <v>0.9499999999999994</v>
      </c>
    </row>
    <row r="875" spans="2:12" x14ac:dyDescent="0.35">
      <c r="B875" s="5" t="str">
        <f t="shared" si="598"/>
        <v>SPS1</v>
      </c>
      <c r="C875" s="5" t="str">
        <f t="shared" si="599"/>
        <v>CH</v>
      </c>
      <c r="D875" t="s">
        <v>2089</v>
      </c>
      <c r="E875" t="s">
        <v>240</v>
      </c>
      <c r="F875" s="4">
        <f>IFERROR(F843/F802,"-")</f>
        <v>0.58999999999999919</v>
      </c>
      <c r="G875" s="4">
        <f t="shared" ref="G875:K875" si="607">IFERROR(G843/G802,"-")</f>
        <v>0.59066666666666678</v>
      </c>
      <c r="H875" s="4">
        <f t="shared" si="607"/>
        <v>0.59166666666666656</v>
      </c>
      <c r="I875" s="4">
        <f t="shared" si="607"/>
        <v>0.59333333333333294</v>
      </c>
      <c r="J875" s="4">
        <f t="shared" si="607"/>
        <v>0.59666666666666746</v>
      </c>
      <c r="K875" s="4">
        <f t="shared" si="607"/>
        <v>0.60000000000000042</v>
      </c>
    </row>
    <row r="876" spans="2:12" x14ac:dyDescent="0.35">
      <c r="B876" s="5" t="str">
        <f t="shared" si="598"/>
        <v>SPS1</v>
      </c>
      <c r="C876" s="5" t="str">
        <f t="shared" si="599"/>
        <v>CH</v>
      </c>
      <c r="D876" t="s">
        <v>2090</v>
      </c>
      <c r="E876" t="s">
        <v>240</v>
      </c>
      <c r="F876" s="4">
        <f>IFERROR(F845/F804,"-")</f>
        <v>0.7374999999999996</v>
      </c>
      <c r="G876" s="4">
        <f t="shared" ref="G876:K876" si="608">IFERROR(G845/G804,"-")</f>
        <v>0.73833333333333362</v>
      </c>
      <c r="H876" s="4">
        <f t="shared" si="608"/>
        <v>0.73958333333333404</v>
      </c>
      <c r="I876" s="4">
        <f t="shared" si="608"/>
        <v>0.74166666666666758</v>
      </c>
      <c r="J876" s="4">
        <f t="shared" si="608"/>
        <v>0.74583333333333368</v>
      </c>
      <c r="K876" s="4">
        <f t="shared" si="608"/>
        <v>0.74999999999999978</v>
      </c>
    </row>
    <row r="877" spans="2:12" x14ac:dyDescent="0.35">
      <c r="B877" s="5" t="str">
        <f t="shared" si="598"/>
        <v>SPS1</v>
      </c>
      <c r="C877" s="5" t="str">
        <f t="shared" si="599"/>
        <v>CH</v>
      </c>
      <c r="D877" t="s">
        <v>2091</v>
      </c>
      <c r="E877" t="s">
        <v>240</v>
      </c>
      <c r="F877" s="4">
        <f>IFERROR(F847/F806,"-")</f>
        <v>0.52800000000000002</v>
      </c>
      <c r="G877" s="4">
        <f t="shared" ref="G877:K877" si="609">IFERROR(G847/G806,"-")</f>
        <v>0.52800000000000047</v>
      </c>
      <c r="H877" s="4">
        <f t="shared" si="609"/>
        <v>0.5279999999999998</v>
      </c>
      <c r="I877" s="4">
        <f t="shared" si="609"/>
        <v>0.52800000000000025</v>
      </c>
      <c r="J877" s="4">
        <f t="shared" si="609"/>
        <v>0.52800000000000002</v>
      </c>
      <c r="K877" s="4">
        <f t="shared" si="609"/>
        <v>0.54400000000000037</v>
      </c>
    </row>
    <row r="878" spans="2:12" x14ac:dyDescent="0.35">
      <c r="B878" s="5" t="str">
        <f t="shared" si="598"/>
        <v>SPS1</v>
      </c>
      <c r="C878" s="5" t="str">
        <f t="shared" si="599"/>
        <v>CH</v>
      </c>
      <c r="D878" t="s">
        <v>2092</v>
      </c>
      <c r="E878" t="s">
        <v>240</v>
      </c>
      <c r="F878" s="4">
        <f>IFERROR(F849/F810,"-")</f>
        <v>1</v>
      </c>
      <c r="G878" s="4">
        <f t="shared" ref="G878:K878" si="610">IFERROR(G849/G810,"-")</f>
        <v>1</v>
      </c>
      <c r="H878" s="4">
        <f t="shared" si="610"/>
        <v>1</v>
      </c>
      <c r="I878" s="4">
        <f t="shared" si="610"/>
        <v>1</v>
      </c>
      <c r="J878" s="4">
        <f t="shared" si="610"/>
        <v>1</v>
      </c>
      <c r="K878" s="4">
        <f t="shared" si="610"/>
        <v>1</v>
      </c>
    </row>
    <row r="879" spans="2:12" x14ac:dyDescent="0.35">
      <c r="B879" s="5" t="str">
        <f t="shared" si="598"/>
        <v>SPS1</v>
      </c>
      <c r="C879" s="5" t="str">
        <f t="shared" si="599"/>
        <v>CH</v>
      </c>
      <c r="D879" t="s">
        <v>2093</v>
      </c>
      <c r="E879" t="s">
        <v>240</v>
      </c>
      <c r="F879" s="4" t="str">
        <f>IFERROR(F851/F812,"-")</f>
        <v>-</v>
      </c>
      <c r="G879" s="4" t="str">
        <f t="shared" ref="G879:K879" si="611">IFERROR(G851/G812,"-")</f>
        <v>-</v>
      </c>
      <c r="H879" s="4" t="str">
        <f t="shared" si="611"/>
        <v>-</v>
      </c>
      <c r="I879" s="4">
        <f t="shared" si="611"/>
        <v>0.39022838402703458</v>
      </c>
      <c r="J879" s="4">
        <f t="shared" si="611"/>
        <v>0.77752485688441875</v>
      </c>
      <c r="K879" s="4">
        <f t="shared" si="611"/>
        <v>0.8083353720917883</v>
      </c>
    </row>
    <row r="880" spans="2:12" x14ac:dyDescent="0.35">
      <c r="B880" s="9" t="str">
        <f>B814</f>
        <v>SPS1</v>
      </c>
      <c r="C880" s="9" t="str">
        <f>C814</f>
        <v>CH</v>
      </c>
      <c r="D880" s="2" t="s">
        <v>674</v>
      </c>
      <c r="E880" s="9" t="s">
        <v>8</v>
      </c>
      <c r="F880" s="17">
        <f t="shared" ref="F880:K880" si="612">F881+F885+F892+F903+F911+F913+F915+F917+F921</f>
        <v>140.1011655880001</v>
      </c>
      <c r="G880" s="17">
        <f t="shared" si="612"/>
        <v>139.71025453282968</v>
      </c>
      <c r="H880" s="17">
        <f t="shared" si="612"/>
        <v>132.931026279105</v>
      </c>
      <c r="I880" s="17">
        <f t="shared" si="612"/>
        <v>121.43464537582081</v>
      </c>
      <c r="J880" s="17">
        <f t="shared" si="612"/>
        <v>108.81324988857804</v>
      </c>
      <c r="K880" s="17">
        <f t="shared" si="612"/>
        <v>97.068138767122008</v>
      </c>
      <c r="L880" s="17"/>
    </row>
    <row r="881" spans="2:12" x14ac:dyDescent="0.35">
      <c r="B881" s="5" t="str">
        <f>B880</f>
        <v>SPS1</v>
      </c>
      <c r="C881" s="5" t="str">
        <f>C880</f>
        <v>CH</v>
      </c>
      <c r="D881" t="s">
        <v>963</v>
      </c>
      <c r="E881" t="s">
        <v>8</v>
      </c>
      <c r="F881" s="1">
        <f>[1]Services!B$11</f>
        <v>60.950038246023333</v>
      </c>
      <c r="G881" s="1">
        <f>[1]Services!C$11</f>
        <v>60.406086178792492</v>
      </c>
      <c r="H881" s="1">
        <f>[1]Services!D$11</f>
        <v>61.49707590009497</v>
      </c>
      <c r="I881" s="1">
        <f>[1]Services!E$11</f>
        <v>60.218711452543062</v>
      </c>
      <c r="J881" s="1">
        <f>[1]Services!F$11</f>
        <v>59.586031562342328</v>
      </c>
      <c r="K881" s="1">
        <f>[1]Services!G$11</f>
        <v>56.057378143010311</v>
      </c>
    </row>
    <row r="882" spans="2:12" x14ac:dyDescent="0.35">
      <c r="B882" s="5" t="str">
        <f>B881</f>
        <v>SPS1</v>
      </c>
      <c r="C882" s="5" t="str">
        <f>C881</f>
        <v>CH</v>
      </c>
      <c r="D882" t="s">
        <v>759</v>
      </c>
      <c r="E882" t="s">
        <v>8</v>
      </c>
      <c r="F882" s="1" cm="1">
        <f t="array" ref="F882">SUMPRODUCT(([1]OUT_FinalEnergyCons!$B$4:$B$10000="Var_Fin")*1, ISNUMBER(SEARCH("SCOM_ELC",[1]OUT_FinalEnergyCons!$C$4:$C$10000))*1, (ISNUMBER(SEARCH("SCOM-SHELCBR",[1]OUT_FinalEnergyCons!$A$4:$A$10000)))*1,[1]OUT_FinalEnergyCons!D$4:D$10000)</f>
        <v>2.6236237156923421</v>
      </c>
      <c r="G882" s="1" cm="1">
        <f t="array" ref="G882">SUMPRODUCT(([1]OUT_FinalEnergyCons!$B$4:$B$10000="Var_Fin")*1, ISNUMBER(SEARCH("SCOM_ELC",[1]OUT_FinalEnergyCons!$C$4:$C$10000))*1, (ISNUMBER(SEARCH("SCOM-SHELCBR",[1]OUT_FinalEnergyCons!$A$4:$A$10000)))*1,[1]OUT_FinalEnergyCons!E$4:E$10000)</f>
        <v>0.27898390320600153</v>
      </c>
      <c r="H882" s="1" cm="1">
        <f t="array" ref="H882">SUMPRODUCT(([1]OUT_FinalEnergyCons!$B$4:$B$10000="Var_Fin")*1, ISNUMBER(SEARCH("SCOM_ELC",[1]OUT_FinalEnergyCons!$C$4:$C$10000))*1, (ISNUMBER(SEARCH("SCOM-SHELCBR",[1]OUT_FinalEnergyCons!$A$4:$A$10000)))*1,[1]OUT_FinalEnergyCons!F$4:F$10000)</f>
        <v>1.084309209486735</v>
      </c>
      <c r="I882" s="1" cm="1">
        <f t="array" ref="I882">SUMPRODUCT(([1]OUT_FinalEnergyCons!$B$4:$B$10000="Var_Fin")*1, ISNUMBER(SEARCH("SCOM_ELC",[1]OUT_FinalEnergyCons!$C$4:$C$10000))*1, (ISNUMBER(SEARCH("SCOM-SHELCBR",[1]OUT_FinalEnergyCons!$A$4:$A$10000)))*1,[1]OUT_FinalEnergyCons!G$4:G$10000)</f>
        <v>0.59138877788467725</v>
      </c>
      <c r="J882" s="1" cm="1">
        <f t="array" ref="J882">SUMPRODUCT(([1]OUT_FinalEnergyCons!$B$4:$B$10000="Var_Fin")*1, ISNUMBER(SEARCH("SCOM_ELC",[1]OUT_FinalEnergyCons!$C$4:$C$10000))*1, (ISNUMBER(SEARCH("SCOM-SHELCBR",[1]OUT_FinalEnergyCons!$A$4:$A$10000)))*1,[1]OUT_FinalEnergyCons!H$4:H$10000)</f>
        <v>0.41928448952670605</v>
      </c>
      <c r="K882" s="1" cm="1">
        <f t="array" ref="K882">SUMPRODUCT(([1]OUT_FinalEnergyCons!$B$4:$B$10000="Var_Fin")*1, ISNUMBER(SEARCH("SCOM_ELC",[1]OUT_FinalEnergyCons!$C$4:$C$10000))*1, (ISNUMBER(SEARCH("SCOM-SHELCBR",[1]OUT_FinalEnergyCons!$A$4:$A$10000)))*1,[1]OUT_FinalEnergyCons!I$4:I$10000)</f>
        <v>0.30031547546201742</v>
      </c>
    </row>
    <row r="883" spans="2:12" x14ac:dyDescent="0.35">
      <c r="B883" s="5" t="str">
        <f t="shared" ref="B883:B922" si="613">B882</f>
        <v>SPS1</v>
      </c>
      <c r="C883" s="5" t="str">
        <f t="shared" ref="C883:C922" si="614">C882</f>
        <v>CH</v>
      </c>
      <c r="D883" t="s">
        <v>725</v>
      </c>
      <c r="E883" t="s">
        <v>8</v>
      </c>
      <c r="F883" s="1" cm="1">
        <f t="array" ref="F883">SUMPRODUCT(([1]OUT_FinalEnergyCons!$B$4:$B$10000="Var_Fin")*1, ISNUMBER(SEARCH("SCOM_ELC",[1]OUT_FinalEnergyCons!$C$4:$C$10000))*1,(ISNUMBER(SEARCH("SCOM-SHELCHP",[1]OUT_FinalEnergyCons!$A$4:$A$10000)))*1,[1]OUT_FinalEnergyCons!D$4:D$10000)</f>
        <v>1.331639955418555</v>
      </c>
      <c r="G883" s="1" cm="1">
        <f t="array" ref="G883">SUMPRODUCT(([1]OUT_FinalEnergyCons!$B$4:$B$10000="Var_Fin")*1, ISNUMBER(SEARCH("SCOM_ELC",[1]OUT_FinalEnergyCons!$C$4:$C$10000))*1,(ISNUMBER(SEARCH("SCOM-SHELCHP",[1]OUT_FinalEnergyCons!$A$4:$A$10000)))*1,[1]OUT_FinalEnergyCons!E$4:E$10000)</f>
        <v>1.425205492535963</v>
      </c>
      <c r="H883" s="1" cm="1">
        <f t="array" ref="H883">SUMPRODUCT(([1]OUT_FinalEnergyCons!$B$4:$B$10000="Var_Fin")*1, ISNUMBER(SEARCH("SCOM_ELC",[1]OUT_FinalEnergyCons!$C$4:$C$10000))*1,(ISNUMBER(SEARCH("SCOM-SHELCHP",[1]OUT_FinalEnergyCons!$A$4:$A$10000)))*1,[1]OUT_FinalEnergyCons!F$4:F$10000)</f>
        <v>1.897904029499436</v>
      </c>
      <c r="I883" s="1" cm="1">
        <f t="array" ref="I883">SUMPRODUCT(([1]OUT_FinalEnergyCons!$B$4:$B$10000="Var_Fin")*1, ISNUMBER(SEARCH("SCOM_ELC",[1]OUT_FinalEnergyCons!$C$4:$C$10000))*1,(ISNUMBER(SEARCH("SCOM-SHELCHP",[1]OUT_FinalEnergyCons!$A$4:$A$10000)))*1,[1]OUT_FinalEnergyCons!G$4:G$10000)</f>
        <v>4.301176685099156</v>
      </c>
      <c r="J883" s="1" cm="1">
        <f t="array" ref="J883">SUMPRODUCT(([1]OUT_FinalEnergyCons!$B$4:$B$10000="Var_Fin")*1, ISNUMBER(SEARCH("SCOM_ELC",[1]OUT_FinalEnergyCons!$C$4:$C$10000))*1,(ISNUMBER(SEARCH("SCOM-SHELCHP",[1]OUT_FinalEnergyCons!$A$4:$A$10000)))*1,[1]OUT_FinalEnergyCons!H$4:H$10000)</f>
        <v>6.7580894266301339</v>
      </c>
      <c r="K883" s="1" cm="1">
        <f t="array" ref="K883">SUMPRODUCT(([1]OUT_FinalEnergyCons!$B$4:$B$10000="Var_Fin")*1, ISNUMBER(SEARCH("SCOM_ELC",[1]OUT_FinalEnergyCons!$C$4:$C$10000))*1,(ISNUMBER(SEARCH("SCOM-SHELCHP",[1]OUT_FinalEnergyCons!$A$4:$A$10000)))*1,[1]OUT_FinalEnergyCons!I$4:I$10000)</f>
        <v>6.8106528784758709</v>
      </c>
    </row>
    <row r="884" spans="2:12" x14ac:dyDescent="0.35">
      <c r="B884" s="5" t="str">
        <f t="shared" si="613"/>
        <v>SPS1</v>
      </c>
      <c r="C884" s="5" t="str">
        <f t="shared" si="614"/>
        <v>CH</v>
      </c>
      <c r="D884" t="s">
        <v>508</v>
      </c>
      <c r="E884" t="s">
        <v>8</v>
      </c>
      <c r="F884" s="1">
        <f>[1]Services!B$11-[1]Services!B$28</f>
        <v>56.994774574912434</v>
      </c>
      <c r="G884" s="1">
        <f>[1]Services!C$11-[1]Services!C$28</f>
        <v>58.701896783050529</v>
      </c>
      <c r="H884" s="1">
        <f>[1]Services!D$11-[1]Services!D$28</f>
        <v>58.514862661108801</v>
      </c>
      <c r="I884" s="1">
        <f>[1]Services!E$11-[1]Services!E$28</f>
        <v>55.32614598955923</v>
      </c>
      <c r="J884" s="1">
        <f>[1]Services!F$11-[1]Services!F$28</f>
        <v>52.408657646185489</v>
      </c>
      <c r="K884" s="1">
        <f>[1]Services!G$11-[1]Services!G$28</f>
        <v>48.946409789072419</v>
      </c>
    </row>
    <row r="885" spans="2:12" x14ac:dyDescent="0.35">
      <c r="B885" s="5" t="str">
        <f t="shared" si="613"/>
        <v>SPS1</v>
      </c>
      <c r="C885" s="5" t="str">
        <f t="shared" si="614"/>
        <v>CH</v>
      </c>
      <c r="D885" t="s">
        <v>499</v>
      </c>
      <c r="E885" t="s">
        <v>8</v>
      </c>
      <c r="F885" s="1">
        <f>F886</f>
        <v>30.256636334867888</v>
      </c>
      <c r="G885" s="1">
        <f t="shared" ref="G885:K885" si="615">G886</f>
        <v>26.783927724145961</v>
      </c>
      <c r="H885" s="1">
        <f t="shared" si="615"/>
        <v>24.476735960270798</v>
      </c>
      <c r="I885" s="1">
        <f t="shared" si="615"/>
        <v>12.753616868087873</v>
      </c>
      <c r="J885" s="1">
        <f t="shared" si="615"/>
        <v>3.3738708703808888</v>
      </c>
      <c r="K885" s="1">
        <f t="shared" si="615"/>
        <v>8.4976441279224532E-2</v>
      </c>
      <c r="L885" s="1"/>
    </row>
    <row r="886" spans="2:12" x14ac:dyDescent="0.35">
      <c r="B886" s="5" t="str">
        <f t="shared" si="613"/>
        <v>SPS1</v>
      </c>
      <c r="C886" s="5" t="str">
        <f t="shared" si="614"/>
        <v>CH</v>
      </c>
      <c r="D886" t="s">
        <v>500</v>
      </c>
      <c r="E886" t="s">
        <v>8</v>
      </c>
      <c r="F886" s="1">
        <f>SUM(F889,F891)</f>
        <v>30.256636334867888</v>
      </c>
      <c r="G886" s="1">
        <f t="shared" ref="G886:K886" si="616">SUM(G889,G891)</f>
        <v>26.783927724145961</v>
      </c>
      <c r="H886" s="1">
        <f t="shared" si="616"/>
        <v>24.476735960270798</v>
      </c>
      <c r="I886" s="1">
        <f t="shared" si="616"/>
        <v>12.753616868087873</v>
      </c>
      <c r="J886" s="1">
        <f t="shared" si="616"/>
        <v>3.3738708703808888</v>
      </c>
      <c r="K886" s="1">
        <f t="shared" si="616"/>
        <v>8.4976441279224532E-2</v>
      </c>
    </row>
    <row r="887" spans="2:12" x14ac:dyDescent="0.35">
      <c r="B887" s="5" t="str">
        <f>B886</f>
        <v>SPS1</v>
      </c>
      <c r="C887" s="5" t="str">
        <f>C886</f>
        <v>CH</v>
      </c>
      <c r="D887" t="s">
        <v>964</v>
      </c>
      <c r="E887" t="s">
        <v>8</v>
      </c>
      <c r="F887" s="1">
        <f>F888</f>
        <v>30.256636334867888</v>
      </c>
      <c r="G887" s="1">
        <f t="shared" ref="G887:K887" si="617">G888</f>
        <v>26.783927724145961</v>
      </c>
      <c r="H887" s="1">
        <f t="shared" si="617"/>
        <v>24.476698308358866</v>
      </c>
      <c r="I887" s="1">
        <f t="shared" si="617"/>
        <v>12.753341291034417</v>
      </c>
      <c r="J887" s="1">
        <f t="shared" si="617"/>
        <v>3.3736147554204186</v>
      </c>
      <c r="K887" s="1">
        <f t="shared" si="617"/>
        <v>5.9711730878104445E-6</v>
      </c>
    </row>
    <row r="888" spans="2:12" x14ac:dyDescent="0.35">
      <c r="B888" s="5" t="str">
        <f t="shared" si="613"/>
        <v>SPS1</v>
      </c>
      <c r="C888" s="5" t="str">
        <f t="shared" si="614"/>
        <v>CH</v>
      </c>
      <c r="D888" t="s">
        <v>528</v>
      </c>
      <c r="E888" t="s">
        <v>8</v>
      </c>
      <c r="F888" s="1">
        <f>[1]Services!B$12</f>
        <v>30.256636334867888</v>
      </c>
      <c r="G888" s="1">
        <f>[1]Services!C$12</f>
        <v>26.783927724145961</v>
      </c>
      <c r="H888" s="1">
        <f>[1]Services!D$12</f>
        <v>24.476698308358866</v>
      </c>
      <c r="I888" s="1">
        <f>[1]Services!E$12</f>
        <v>12.753341291034417</v>
      </c>
      <c r="J888" s="1">
        <f>[1]Services!F$12</f>
        <v>3.3736147554204186</v>
      </c>
      <c r="K888" s="1">
        <f>[1]Services!G$12</f>
        <v>5.9711730878104445E-6</v>
      </c>
    </row>
    <row r="889" spans="2:12" x14ac:dyDescent="0.35">
      <c r="B889" s="5" t="str">
        <f>B888</f>
        <v>SPS1</v>
      </c>
      <c r="C889" s="5" t="str">
        <f t="shared" si="614"/>
        <v>CH</v>
      </c>
      <c r="D889" t="s">
        <v>529</v>
      </c>
      <c r="E889" t="s">
        <v>8</v>
      </c>
      <c r="F889" s="1">
        <f>F888</f>
        <v>30.256636334867888</v>
      </c>
      <c r="G889" s="1">
        <f t="shared" ref="G889:K889" si="618">G888</f>
        <v>26.783927724145961</v>
      </c>
      <c r="H889" s="1">
        <f t="shared" si="618"/>
        <v>24.476698308358866</v>
      </c>
      <c r="I889" s="1">
        <f t="shared" si="618"/>
        <v>12.753341291034417</v>
      </c>
      <c r="J889" s="1">
        <f t="shared" si="618"/>
        <v>3.3736147554204186</v>
      </c>
      <c r="K889" s="1">
        <f t="shared" si="618"/>
        <v>5.9711730878104445E-6</v>
      </c>
    </row>
    <row r="890" spans="2:12" x14ac:dyDescent="0.35">
      <c r="B890" s="5" t="str">
        <f>B889</f>
        <v>SPS1</v>
      </c>
      <c r="C890" s="5" t="str">
        <f>C889</f>
        <v>CH</v>
      </c>
      <c r="D890" t="s">
        <v>965</v>
      </c>
      <c r="E890" t="s">
        <v>8</v>
      </c>
      <c r="F890">
        <f>F891</f>
        <v>0</v>
      </c>
      <c r="G890">
        <f t="shared" ref="G890:K890" si="619">G891</f>
        <v>0</v>
      </c>
      <c r="H890">
        <f t="shared" si="619"/>
        <v>3.7651911932720631E-5</v>
      </c>
      <c r="I890">
        <f t="shared" si="619"/>
        <v>2.7557705345564512E-4</v>
      </c>
      <c r="J890">
        <f t="shared" si="619"/>
        <v>2.5611496047039337E-4</v>
      </c>
      <c r="K890">
        <f t="shared" si="619"/>
        <v>8.4970470106136717E-2</v>
      </c>
    </row>
    <row r="891" spans="2:12" x14ac:dyDescent="0.35">
      <c r="B891" s="5" t="str">
        <f t="shared" si="613"/>
        <v>SPS1</v>
      </c>
      <c r="C891" s="5" t="str">
        <f t="shared" si="614"/>
        <v>CH</v>
      </c>
      <c r="D891" t="s">
        <v>966</v>
      </c>
      <c r="E891" t="s">
        <v>8</v>
      </c>
      <c r="F891">
        <f>[1]Services!B$13</f>
        <v>0</v>
      </c>
      <c r="G891">
        <f>[1]Services!C$13</f>
        <v>0</v>
      </c>
      <c r="H891">
        <f>[1]Services!D$13</f>
        <v>3.7651911932720631E-5</v>
      </c>
      <c r="I891">
        <f>[1]Services!E$13</f>
        <v>2.7557705345564512E-4</v>
      </c>
      <c r="J891">
        <f>[1]Services!F$13</f>
        <v>2.5611496047039337E-4</v>
      </c>
      <c r="K891">
        <f>[1]Services!G$13</f>
        <v>8.4970470106136717E-2</v>
      </c>
    </row>
    <row r="892" spans="2:12" x14ac:dyDescent="0.35">
      <c r="B892" s="5" t="str">
        <f t="shared" si="613"/>
        <v>SPS1</v>
      </c>
      <c r="C892" s="5" t="str">
        <f t="shared" si="614"/>
        <v>CH</v>
      </c>
      <c r="D892" t="s">
        <v>501</v>
      </c>
      <c r="E892" t="s">
        <v>8</v>
      </c>
      <c r="F892" s="1">
        <f>SUM(F893:F895)</f>
        <v>26.950974251243032</v>
      </c>
      <c r="G892" s="1">
        <f t="shared" ref="G892:K892" si="620">SUM(G893:G895)</f>
        <v>28.287016418860787</v>
      </c>
      <c r="H892" s="1">
        <f t="shared" si="620"/>
        <v>24.450274573168741</v>
      </c>
      <c r="I892" s="1">
        <f t="shared" si="620"/>
        <v>18.033175893992716</v>
      </c>
      <c r="J892" s="1">
        <f t="shared" si="620"/>
        <v>8.4853047483572581</v>
      </c>
      <c r="K892" s="1">
        <f t="shared" si="620"/>
        <v>5.4984736838107979</v>
      </c>
    </row>
    <row r="893" spans="2:12" x14ac:dyDescent="0.35">
      <c r="B893" s="5" t="str">
        <f t="shared" si="613"/>
        <v>SPS1</v>
      </c>
      <c r="C893" s="5" t="str">
        <f t="shared" si="614"/>
        <v>CH</v>
      </c>
      <c r="D893" t="s">
        <v>681</v>
      </c>
      <c r="E893" t="s">
        <v>8</v>
      </c>
      <c r="F893" s="1">
        <f>SUM([1]Services!B$14:B$15)-F894</f>
        <v>25.548691177111014</v>
      </c>
      <c r="G893" s="1">
        <f>SUM([1]Services!C$14:C$15)</f>
        <v>26.749785531577643</v>
      </c>
      <c r="H893" s="1">
        <f>SUM([1]Services!D$14:D$15)</f>
        <v>23.508578930237199</v>
      </c>
      <c r="I893" s="1">
        <f>SUM([1]Services!E$14:E$15)</f>
        <v>16.51255144031644</v>
      </c>
      <c r="J893" s="1">
        <f>SUM([1]Services!F$14:F$15)</f>
        <v>6.1588274482260639</v>
      </c>
      <c r="K893" s="1">
        <f>SUM([1]Services!G$14:G$15)</f>
        <v>3.3413572081318024</v>
      </c>
    </row>
    <row r="894" spans="2:12" x14ac:dyDescent="0.35">
      <c r="B894" s="5" t="str">
        <f t="shared" ref="B894" si="621">B893</f>
        <v>SPS1</v>
      </c>
      <c r="C894" s="5" t="str">
        <f t="shared" ref="C894" si="622">C893</f>
        <v>CH</v>
      </c>
      <c r="D894" t="s">
        <v>726</v>
      </c>
      <c r="E894" t="s">
        <v>8</v>
      </c>
      <c r="F894" s="1" cm="1">
        <f t="array" ref="F894">SUMPRODUCT(([1]OUT_FinalEnergyCons!$B$4:$B$10000="Var_Fin")*1, ([1]OUT_FinalEnergyCons!$C$4:$C$10000="SNGA")*1,(ISNUMBER(SEARCH("SCOM-SHngahp",[1]OUT_FinalEnergyCons!$A$4:$A$10000)))*1,[1]OUT_FinalEnergyCons!D$4:D$10000)</f>
        <v>0</v>
      </c>
      <c r="G894" s="1" cm="1">
        <f t="array" ref="G894">SUMPRODUCT(([1]OUT_FinalEnergyCons!$B$4:$B$10000="Var_Fin")*1, ([1]OUT_FinalEnergyCons!$C$4:$C$10000="SNGA")*1,(ISNUMBER(SEARCH("SCOM-SHngahp",[1]OUT_FinalEnergyCons!$A$4:$A$10000)))*1,[1]OUT_FinalEnergyCons!E$4:E$10000)</f>
        <v>0</v>
      </c>
      <c r="H894" s="1" cm="1">
        <f t="array" ref="H894">SUMPRODUCT(([1]OUT_FinalEnergyCons!$B$4:$B$10000="Var_Fin")*1, ([1]OUT_FinalEnergyCons!$C$4:$C$10000="SNGA")*1,(ISNUMBER(SEARCH("SCOM-SHngahp",[1]OUT_FinalEnergyCons!$A$4:$A$10000)))*1,[1]OUT_FinalEnergyCons!F$4:F$10000)</f>
        <v>0.94169564293154029</v>
      </c>
      <c r="I894" s="1" cm="1">
        <f t="array" ref="I894">SUMPRODUCT(([1]OUT_FinalEnergyCons!$B$4:$B$10000="Var_Fin")*1, ([1]OUT_FinalEnergyCons!$C$4:$C$10000="SNGA")*1,(ISNUMBER(SEARCH("SCOM-SHngahp",[1]OUT_FinalEnergyCons!$A$4:$A$10000)))*1,[1]OUT_FinalEnergyCons!G$4:G$10000)</f>
        <v>1.5206244536762781</v>
      </c>
      <c r="J894" s="1" cm="1">
        <f t="array" ref="J894">SUMPRODUCT(([1]OUT_FinalEnergyCons!$B$4:$B$10000="Var_Fin")*1, ([1]OUT_FinalEnergyCons!$C$4:$C$10000="SNGA")*1,(ISNUMBER(SEARCH("SCOM-SHngahp",[1]OUT_FinalEnergyCons!$A$4:$A$10000)))*1,[1]OUT_FinalEnergyCons!H$4:H$10000)</f>
        <v>2.3264773001311947</v>
      </c>
      <c r="K894" s="1" cm="1">
        <f t="array" ref="K894">SUMPRODUCT(([1]OUT_FinalEnergyCons!$B$4:$B$10000="Var_Fin")*1, ([1]OUT_FinalEnergyCons!$C$4:$C$10000="SNGA")*1,(ISNUMBER(SEARCH("SCOM-SHngahp",[1]OUT_FinalEnergyCons!$A$4:$A$10000)))*1,[1]OUT_FinalEnergyCons!I$4:I$10000)</f>
        <v>2.1571164756789956</v>
      </c>
    </row>
    <row r="895" spans="2:12" x14ac:dyDescent="0.35">
      <c r="B895" s="5" t="str">
        <f>B893</f>
        <v>SPS1</v>
      </c>
      <c r="C895" s="5" t="str">
        <f>C893</f>
        <v>CH</v>
      </c>
      <c r="D895" t="s">
        <v>502</v>
      </c>
      <c r="E895" t="s">
        <v>8</v>
      </c>
      <c r="F895" s="1">
        <f>[1]Services!B$16</f>
        <v>1.4022830741320178</v>
      </c>
      <c r="G895" s="1">
        <f>[1]Services!C$16</f>
        <v>1.5372308872831439</v>
      </c>
      <c r="H895" s="1">
        <f>[1]Services!D$16</f>
        <v>0</v>
      </c>
      <c r="I895" s="1">
        <f>[1]Services!E$16</f>
        <v>0</v>
      </c>
      <c r="J895" s="1">
        <f>[1]Services!F$16</f>
        <v>0</v>
      </c>
      <c r="K895" s="1">
        <f>[1]Services!G$16</f>
        <v>0</v>
      </c>
    </row>
    <row r="896" spans="2:12" x14ac:dyDescent="0.35">
      <c r="B896" s="5" t="str">
        <f t="shared" si="613"/>
        <v>SPS1</v>
      </c>
      <c r="C896" s="5" t="str">
        <f t="shared" si="614"/>
        <v>CH</v>
      </c>
      <c r="D896" t="s">
        <v>967</v>
      </c>
      <c r="E896" t="s">
        <v>8</v>
      </c>
      <c r="F896" s="1">
        <f>[1]Services!B$14</f>
        <v>25.2601995929057</v>
      </c>
      <c r="G896" s="1">
        <f>[1]Services!C$14</f>
        <v>25.208278204641129</v>
      </c>
      <c r="H896" s="1">
        <f>[1]Services!D$14</f>
        <v>23.503932029072963</v>
      </c>
      <c r="I896" s="1">
        <f>[1]Services!E$14</f>
        <v>16.512453503392447</v>
      </c>
      <c r="J896" s="1">
        <f>[1]Services!F$14</f>
        <v>6.1585132158677993</v>
      </c>
      <c r="K896" s="1">
        <f>[1]Services!G$14</f>
        <v>3.3411970454540656</v>
      </c>
    </row>
    <row r="897" spans="2:11" x14ac:dyDescent="0.35">
      <c r="B897" s="5" t="str">
        <f t="shared" si="613"/>
        <v>SPS1</v>
      </c>
      <c r="C897" s="5" t="str">
        <f t="shared" si="614"/>
        <v>CH</v>
      </c>
      <c r="D897" t="s">
        <v>682</v>
      </c>
      <c r="E897" t="s">
        <v>8</v>
      </c>
      <c r="F897" s="1">
        <f>[1]Services!B$14*IFERROR(F893/SUM(F893:F894),0)</f>
        <v>25.2601995929057</v>
      </c>
      <c r="G897" s="1">
        <f>[1]Services!C$14*IFERROR(G893/SUM(G893:G894),0)</f>
        <v>25.208278204641129</v>
      </c>
      <c r="H897" s="1">
        <f>[1]Services!D$14*IFERROR(H893/SUM(H893:H894),0)</f>
        <v>22.598684510592086</v>
      </c>
      <c r="I897" s="1">
        <f>[1]Services!E$14*IFERROR(I893/SUM(I893:I894),0)</f>
        <v>15.120062016997888</v>
      </c>
      <c r="J897" s="1">
        <f>[1]Services!F$14*IFERROR(J893/SUM(J893:J894),0)</f>
        <v>4.469989158785677</v>
      </c>
      <c r="K897" s="1">
        <f>[1]Services!G$14*IFERROR(K893/SUM(K893:K894),0)</f>
        <v>2.0304057950640506</v>
      </c>
    </row>
    <row r="898" spans="2:11" x14ac:dyDescent="0.35">
      <c r="B898" s="5" t="str">
        <f>B897</f>
        <v>SPS1</v>
      </c>
      <c r="C898" s="5" t="str">
        <f t="shared" ref="C898" si="623">C897</f>
        <v>CH</v>
      </c>
      <c r="D898" t="s">
        <v>727</v>
      </c>
      <c r="E898" t="s">
        <v>8</v>
      </c>
      <c r="F898" s="1">
        <f>F896-F897</f>
        <v>0</v>
      </c>
      <c r="G898" s="1">
        <f t="shared" ref="G898:K898" si="624">G896-G897</f>
        <v>0</v>
      </c>
      <c r="H898" s="1">
        <f t="shared" si="624"/>
        <v>0.90524751848087703</v>
      </c>
      <c r="I898" s="1">
        <f t="shared" si="624"/>
        <v>1.3923914863945583</v>
      </c>
      <c r="J898" s="1">
        <f t="shared" si="624"/>
        <v>1.6885240570821223</v>
      </c>
      <c r="K898" s="1">
        <f t="shared" si="624"/>
        <v>1.310791250390015</v>
      </c>
    </row>
    <row r="899" spans="2:11" x14ac:dyDescent="0.35">
      <c r="B899" s="5" t="str">
        <f>B897</f>
        <v>SPS1</v>
      </c>
      <c r="C899" s="5" t="str">
        <f>C897</f>
        <v>CH</v>
      </c>
      <c r="D899" t="s">
        <v>968</v>
      </c>
      <c r="E899" t="s">
        <v>8</v>
      </c>
      <c r="F899" s="1">
        <f>[1]Services!B$15+F902</f>
        <v>1.6907746583373322</v>
      </c>
      <c r="G899" s="1">
        <f>[1]Services!C$15+G902</f>
        <v>3.0787382142196571</v>
      </c>
      <c r="H899" s="1">
        <f>[1]Services!D$15+H902</f>
        <v>4.6469011642371405E-3</v>
      </c>
      <c r="I899" s="1">
        <f>[1]Services!E$15+I902</f>
        <v>9.7936923992165568E-5</v>
      </c>
      <c r="J899" s="1">
        <f>[1]Services!F$15+J902</f>
        <v>3.1423235826439982E-4</v>
      </c>
      <c r="K899" s="1">
        <f>[1]Services!G$15+K902</f>
        <v>1.6016267773699626E-4</v>
      </c>
    </row>
    <row r="900" spans="2:11" x14ac:dyDescent="0.35">
      <c r="B900" s="5" t="str">
        <f t="shared" si="613"/>
        <v>SPS1</v>
      </c>
      <c r="C900" s="5" t="str">
        <f t="shared" si="614"/>
        <v>CH</v>
      </c>
      <c r="D900" t="s">
        <v>683</v>
      </c>
      <c r="E900" t="s">
        <v>8</v>
      </c>
      <c r="F900" s="1">
        <f>[1]Services!B$15*F893/SUM(F893:F894)</f>
        <v>0.28849158420531446</v>
      </c>
      <c r="G900" s="1">
        <f>[1]Services!C$15*G893/SUM(G893:G894)</f>
        <v>1.5415073269365134</v>
      </c>
      <c r="H900" s="1">
        <f>[1]Services!D$15*H893/SUM(H893:H894)</f>
        <v>4.4679270358934974E-3</v>
      </c>
      <c r="I900" s="1">
        <f>[1]Services!E$15*I893/SUM(I893:I894)</f>
        <v>8.9678518350487537E-5</v>
      </c>
      <c r="J900" s="1">
        <f>[1]Services!F$15*J893/SUM(J893:J894)</f>
        <v>2.2807700260550612E-4</v>
      </c>
      <c r="K900" s="1">
        <f>[1]Services!G$15*K893/SUM(K893:K894)</f>
        <v>9.7328958635535821E-5</v>
      </c>
    </row>
    <row r="901" spans="2:11" x14ac:dyDescent="0.35">
      <c r="B901" s="5" t="str">
        <f>B900</f>
        <v>SPS1</v>
      </c>
      <c r="C901" s="5" t="str">
        <f t="shared" ref="C901" si="625">C900</f>
        <v>CH</v>
      </c>
      <c r="D901" t="s">
        <v>728</v>
      </c>
      <c r="E901" t="s">
        <v>8</v>
      </c>
      <c r="F901" s="1">
        <f>[1]Services!B$15*F894/SUM(F893:F894)</f>
        <v>0</v>
      </c>
      <c r="G901" s="1">
        <f>[1]Services!C$15*G894/SUM(G893:G894)</f>
        <v>0</v>
      </c>
      <c r="H901" s="1">
        <f>[1]Services!D$15*H894/SUM(H893:H894)</f>
        <v>1.7897412834364318E-4</v>
      </c>
      <c r="I901" s="1">
        <f>[1]Services!E$15*I894/SUM(I893:I894)</f>
        <v>8.2584056416780431E-6</v>
      </c>
      <c r="J901" s="1">
        <f>[1]Services!F$15*J894/SUM(J893:J894)</f>
        <v>8.6155355658893711E-5</v>
      </c>
      <c r="K901" s="1">
        <f>[1]Services!G$15*K894/SUM(K893:K894)</f>
        <v>6.2833719101460439E-5</v>
      </c>
    </row>
    <row r="902" spans="2:11" x14ac:dyDescent="0.35">
      <c r="B902" s="5" t="str">
        <f>B900</f>
        <v>SPS1</v>
      </c>
      <c r="C902" s="5" t="str">
        <f>C900</f>
        <v>CH</v>
      </c>
      <c r="D902" t="s">
        <v>673</v>
      </c>
      <c r="E902" t="s">
        <v>8</v>
      </c>
      <c r="F902" s="1">
        <f>[1]Services!B$16</f>
        <v>1.4022830741320178</v>
      </c>
      <c r="G902" s="1">
        <f>[1]Services!C$16</f>
        <v>1.5372308872831439</v>
      </c>
      <c r="H902" s="1">
        <f>[1]Services!D$16</f>
        <v>0</v>
      </c>
      <c r="I902" s="1">
        <f>[1]Services!E$16</f>
        <v>0</v>
      </c>
      <c r="J902" s="1">
        <f>[1]Services!F$16</f>
        <v>0</v>
      </c>
      <c r="K902" s="1">
        <f>[1]Services!G$16</f>
        <v>0</v>
      </c>
    </row>
    <row r="903" spans="2:11" x14ac:dyDescent="0.35">
      <c r="B903" s="5" t="str">
        <f>B902</f>
        <v>SPS1</v>
      </c>
      <c r="C903" s="5" t="str">
        <f>C902</f>
        <v>CH</v>
      </c>
      <c r="D903" t="s">
        <v>969</v>
      </c>
      <c r="E903" t="s">
        <v>8</v>
      </c>
      <c r="F903" s="1">
        <f>[1]Services!B$17</f>
        <v>7.7268956558401776</v>
      </c>
      <c r="G903" s="1">
        <f>[1]Services!C$17</f>
        <v>8.3697012104097013</v>
      </c>
      <c r="H903" s="1">
        <f>[1]Services!D$17</f>
        <v>5.979110000324571</v>
      </c>
      <c r="I903" s="1">
        <f>[1]Services!E$17</f>
        <v>7.2827006139473323</v>
      </c>
      <c r="J903" s="1">
        <f>[1]Services!F$17</f>
        <v>8.099822198976911</v>
      </c>
      <c r="K903" s="1">
        <f>[1]Services!G$17</f>
        <v>7.4585956214093834</v>
      </c>
    </row>
    <row r="904" spans="2:11" x14ac:dyDescent="0.35">
      <c r="B904" s="5" t="str">
        <f t="shared" si="613"/>
        <v>SPS1</v>
      </c>
      <c r="C904" s="5" t="str">
        <f t="shared" si="614"/>
        <v>CH</v>
      </c>
      <c r="D904" t="s">
        <v>970</v>
      </c>
      <c r="E904" t="s">
        <v>8</v>
      </c>
      <c r="F904" s="1">
        <f>[1]Services!B$51/0.99</f>
        <v>2.1168907980014113</v>
      </c>
      <c r="G904" s="1">
        <f>[1]Services!C$51/0.99</f>
        <v>2.2929965697501169</v>
      </c>
      <c r="H904" s="1">
        <f>[1]Services!D$51/0.99</f>
        <v>0</v>
      </c>
      <c r="I904" s="1">
        <f>[1]Services!E$51/0.99</f>
        <v>0</v>
      </c>
      <c r="J904" s="1">
        <f>[1]Services!F$51/0.99</f>
        <v>0</v>
      </c>
      <c r="K904" s="1">
        <f>[1]Services!G$51/0.99</f>
        <v>0</v>
      </c>
    </row>
    <row r="905" spans="2:11" x14ac:dyDescent="0.35">
      <c r="B905" s="5" t="str">
        <f t="shared" si="613"/>
        <v>SPS1</v>
      </c>
      <c r="C905" s="5" t="str">
        <f t="shared" si="614"/>
        <v>CH</v>
      </c>
      <c r="D905" t="s">
        <v>507</v>
      </c>
      <c r="E905" t="s">
        <v>8</v>
      </c>
      <c r="F905" s="1">
        <f>F904-SUM(F906:F909)</f>
        <v>1.424302009469528</v>
      </c>
      <c r="G905" s="1">
        <f t="shared" ref="G905:K905" si="626">G904-SUM(G906:G909)</f>
        <v>1.5427883074927575</v>
      </c>
      <c r="H905" s="1">
        <f t="shared" si="626"/>
        <v>-0.2076965188510336</v>
      </c>
      <c r="I905" s="1">
        <f t="shared" si="626"/>
        <v>-0.22300217382580118</v>
      </c>
      <c r="J905" s="1">
        <f t="shared" si="626"/>
        <v>-0.20037774414357773</v>
      </c>
      <c r="K905" s="1">
        <f t="shared" si="626"/>
        <v>-1.0165741740367697E-2</v>
      </c>
    </row>
    <row r="906" spans="2:11" x14ac:dyDescent="0.35">
      <c r="B906" s="5" t="str">
        <f t="shared" si="613"/>
        <v>SPS1</v>
      </c>
      <c r="C906" s="5" t="str">
        <f t="shared" si="614"/>
        <v>CH</v>
      </c>
      <c r="D906" t="s">
        <v>503</v>
      </c>
      <c r="E906" t="s">
        <v>8</v>
      </c>
      <c r="F906" s="1">
        <f t="shared" ref="F906:K907" si="627">F247</f>
        <v>0.69258878853188333</v>
      </c>
      <c r="G906" s="1">
        <f t="shared" si="627"/>
        <v>0.75020826225735937</v>
      </c>
      <c r="H906" s="1">
        <f t="shared" si="627"/>
        <v>0.2076965188510336</v>
      </c>
      <c r="I906" s="1">
        <f t="shared" si="627"/>
        <v>0.22208427754866869</v>
      </c>
      <c r="J906" s="1">
        <f t="shared" si="627"/>
        <v>0.18208827088123872</v>
      </c>
      <c r="K906" s="1">
        <f t="shared" si="627"/>
        <v>0</v>
      </c>
    </row>
    <row r="907" spans="2:11" x14ac:dyDescent="0.35">
      <c r="B907" s="5" t="str">
        <f t="shared" si="613"/>
        <v>SPS1</v>
      </c>
      <c r="C907" s="5" t="str">
        <f t="shared" si="614"/>
        <v>CH</v>
      </c>
      <c r="D907" t="s">
        <v>504</v>
      </c>
      <c r="E907" t="s">
        <v>8</v>
      </c>
      <c r="F907" s="1">
        <f t="shared" si="627"/>
        <v>0</v>
      </c>
      <c r="G907" s="1">
        <f t="shared" si="627"/>
        <v>0</v>
      </c>
      <c r="H907" s="1">
        <f t="shared" si="627"/>
        <v>0</v>
      </c>
      <c r="I907" s="1">
        <f t="shared" si="627"/>
        <v>0</v>
      </c>
      <c r="J907" s="1">
        <f t="shared" si="627"/>
        <v>0</v>
      </c>
      <c r="K907" s="1">
        <f t="shared" si="627"/>
        <v>0</v>
      </c>
    </row>
    <row r="908" spans="2:11" x14ac:dyDescent="0.35">
      <c r="B908" s="5" t="str">
        <f t="shared" si="613"/>
        <v>SPS1</v>
      </c>
      <c r="C908" s="5" t="str">
        <f t="shared" si="614"/>
        <v>CH</v>
      </c>
      <c r="D908" t="s">
        <v>505</v>
      </c>
      <c r="E908" t="s">
        <v>8</v>
      </c>
      <c r="F908" s="1">
        <f t="shared" ref="F908:K908" si="628">F285</f>
        <v>0</v>
      </c>
      <c r="G908" s="1">
        <f t="shared" si="628"/>
        <v>0</v>
      </c>
      <c r="H908" s="1">
        <f t="shared" si="628"/>
        <v>0</v>
      </c>
      <c r="I908" s="1">
        <f t="shared" si="628"/>
        <v>5.3783958242715384E-4</v>
      </c>
      <c r="J908" s="1">
        <f t="shared" si="628"/>
        <v>1.5020994630796816E-3</v>
      </c>
      <c r="K908" s="1">
        <f t="shared" si="628"/>
        <v>3.3330492985917911E-4</v>
      </c>
    </row>
    <row r="909" spans="2:11" x14ac:dyDescent="0.35">
      <c r="B909" s="5" t="str">
        <f t="shared" si="613"/>
        <v>SPS1</v>
      </c>
      <c r="C909" s="5" t="str">
        <f t="shared" si="614"/>
        <v>CH</v>
      </c>
      <c r="D909" t="s">
        <v>506</v>
      </c>
      <c r="E909" t="s">
        <v>8</v>
      </c>
      <c r="F909" s="1">
        <f t="shared" ref="F909:K909" si="629">F288</f>
        <v>0</v>
      </c>
      <c r="G909" s="1">
        <f t="shared" si="629"/>
        <v>0</v>
      </c>
      <c r="H909" s="1">
        <f t="shared" si="629"/>
        <v>0</v>
      </c>
      <c r="I909" s="1">
        <f t="shared" si="629"/>
        <v>3.8005669470532499E-4</v>
      </c>
      <c r="J909" s="1">
        <f t="shared" si="629"/>
        <v>1.678737379925933E-2</v>
      </c>
      <c r="K909" s="1">
        <f t="shared" si="629"/>
        <v>9.8324368105085179E-3</v>
      </c>
    </row>
    <row r="910" spans="2:11" x14ac:dyDescent="0.35">
      <c r="B910" s="5" t="str">
        <f t="shared" si="613"/>
        <v>SPS1</v>
      </c>
      <c r="C910" s="5" t="str">
        <f t="shared" si="614"/>
        <v>CH</v>
      </c>
      <c r="D910" t="s">
        <v>971</v>
      </c>
      <c r="E910" t="s">
        <v>8</v>
      </c>
      <c r="F910" s="1">
        <f>F903-F904</f>
        <v>5.6100048578387662</v>
      </c>
      <c r="G910" s="1">
        <f t="shared" ref="G910:K910" si="630">G903-G904</f>
        <v>6.0767046406595844</v>
      </c>
      <c r="H910" s="1">
        <f t="shared" si="630"/>
        <v>5.979110000324571</v>
      </c>
      <c r="I910" s="1">
        <f t="shared" si="630"/>
        <v>7.2827006139473323</v>
      </c>
      <c r="J910" s="1">
        <f t="shared" si="630"/>
        <v>8.099822198976911</v>
      </c>
      <c r="K910" s="1">
        <f t="shared" si="630"/>
        <v>7.4585956214093834</v>
      </c>
    </row>
    <row r="911" spans="2:11" x14ac:dyDescent="0.35">
      <c r="B911" s="5" t="str">
        <f t="shared" si="613"/>
        <v>SPS1</v>
      </c>
      <c r="C911" s="5" t="str">
        <f t="shared" si="614"/>
        <v>CH</v>
      </c>
      <c r="D911" t="s">
        <v>972</v>
      </c>
      <c r="E911" t="s">
        <v>8</v>
      </c>
      <c r="F911" s="1">
        <f>F912</f>
        <v>8.5743723336926845</v>
      </c>
      <c r="G911" s="1">
        <f t="shared" ref="G911:K911" si="631">G912</f>
        <v>9.5836203355680905</v>
      </c>
      <c r="H911" s="1">
        <f t="shared" si="631"/>
        <v>11.447822870455386</v>
      </c>
      <c r="I911" s="1">
        <f t="shared" si="631"/>
        <v>11.108980542294901</v>
      </c>
      <c r="J911" s="1">
        <f t="shared" si="631"/>
        <v>8.5344234785543449</v>
      </c>
      <c r="K911" s="1">
        <f t="shared" si="631"/>
        <v>5.5824274349647451</v>
      </c>
    </row>
    <row r="912" spans="2:11" x14ac:dyDescent="0.35">
      <c r="B912" s="5" t="str">
        <f t="shared" si="613"/>
        <v>SPS1</v>
      </c>
      <c r="C912" s="5" t="str">
        <f t="shared" si="614"/>
        <v>CH</v>
      </c>
      <c r="D912" t="s">
        <v>973</v>
      </c>
      <c r="E912" t="s">
        <v>8</v>
      </c>
      <c r="F912" s="1" cm="1">
        <f t="array" ref="F912">SUMPRODUCT(([1]OUT_FinalEnergyCons!$B$4:$B$10000="Var_Fin")*1, ISNUMBER(SEARCH("WOD",[1]OUT_FinalEnergyCons!$C$4:$C$10000))*1,(ISNUMBER(SEARCH("SCOM-SHWODBR",[1]OUT_FinalEnergyCons!$A$4:$A$10000)))*1,[1]OUT_FinalEnergyCons!D$4:D$10000)</f>
        <v>8.5743723336926845</v>
      </c>
      <c r="G912" s="1" cm="1">
        <f t="array" ref="G912">SUMPRODUCT(([1]OUT_FinalEnergyCons!$B$4:$B$10000="Var_Fin")*1, ISNUMBER(SEARCH("WOD",[1]OUT_FinalEnergyCons!$C$4:$C$10000))*1,(ISNUMBER(SEARCH("SCOM-SHWODBR",[1]OUT_FinalEnergyCons!$A$4:$A$10000)))*1,[1]OUT_FinalEnergyCons!E$4:E$10000)</f>
        <v>9.5836203355680905</v>
      </c>
      <c r="H912" s="1" cm="1">
        <f t="array" ref="H912">SUMPRODUCT(([1]OUT_FinalEnergyCons!$B$4:$B$10000="Var_Fin")*1, ISNUMBER(SEARCH("WOD",[1]OUT_FinalEnergyCons!$C$4:$C$10000))*1,(ISNUMBER(SEARCH("SCOM-SHWODBR",[1]OUT_FinalEnergyCons!$A$4:$A$10000)))*1,[1]OUT_FinalEnergyCons!F$4:F$10000)</f>
        <v>11.447822870455386</v>
      </c>
      <c r="I912" s="1" cm="1">
        <f t="array" ref="I912">SUMPRODUCT(([1]OUT_FinalEnergyCons!$B$4:$B$10000="Var_Fin")*1, ISNUMBER(SEARCH("WOD",[1]OUT_FinalEnergyCons!$C$4:$C$10000))*1,(ISNUMBER(SEARCH("SCOM-SHWODBR",[1]OUT_FinalEnergyCons!$A$4:$A$10000)))*1,[1]OUT_FinalEnergyCons!G$4:G$10000)</f>
        <v>11.108980542294901</v>
      </c>
      <c r="J912" s="1" cm="1">
        <f t="array" ref="J912">SUMPRODUCT(([1]OUT_FinalEnergyCons!$B$4:$B$10000="Var_Fin")*1, ISNUMBER(SEARCH("WOD",[1]OUT_FinalEnergyCons!$C$4:$C$10000))*1,(ISNUMBER(SEARCH("SCOM-SHWODBR",[1]OUT_FinalEnergyCons!$A$4:$A$10000)))*1,[1]OUT_FinalEnergyCons!H$4:H$10000)</f>
        <v>8.5344234785543449</v>
      </c>
      <c r="K912" s="1" cm="1">
        <f t="array" ref="K912">SUMPRODUCT(([1]OUT_FinalEnergyCons!$B$4:$B$10000="Var_Fin")*1, ISNUMBER(SEARCH("WOD",[1]OUT_FinalEnergyCons!$C$4:$C$10000))*1,(ISNUMBER(SEARCH("SCOM-SHWODBR",[1]OUT_FinalEnergyCons!$A$4:$A$10000)))*1,[1]OUT_FinalEnergyCons!I$4:I$10000)</f>
        <v>5.5824274349647451</v>
      </c>
    </row>
    <row r="913" spans="2:12" x14ac:dyDescent="0.35">
      <c r="B913" s="5" t="str">
        <f t="shared" si="613"/>
        <v>SPS1</v>
      </c>
      <c r="C913" s="5" t="str">
        <f t="shared" si="614"/>
        <v>CH</v>
      </c>
      <c r="D913" t="s">
        <v>974</v>
      </c>
      <c r="E913" t="s">
        <v>8</v>
      </c>
      <c r="F913" s="1">
        <f>F914</f>
        <v>2.0856385008996914</v>
      </c>
      <c r="G913" s="1">
        <f t="shared" ref="G913:K913" si="632">G914</f>
        <v>2.4000947971937161</v>
      </c>
      <c r="H913" s="1">
        <f t="shared" si="632"/>
        <v>0.99273747386311573</v>
      </c>
      <c r="I913" s="1">
        <f t="shared" si="632"/>
        <v>1.2286335989559629</v>
      </c>
      <c r="J913" s="1">
        <f t="shared" si="632"/>
        <v>1.4702029585535055</v>
      </c>
      <c r="K913" s="1">
        <f t="shared" si="632"/>
        <v>1.2351741255803015</v>
      </c>
    </row>
    <row r="914" spans="2:12" x14ac:dyDescent="0.35">
      <c r="B914" s="5" t="str">
        <f t="shared" si="613"/>
        <v>SPS1</v>
      </c>
      <c r="C914" s="5" t="str">
        <f t="shared" si="614"/>
        <v>CH</v>
      </c>
      <c r="D914" t="s">
        <v>975</v>
      </c>
      <c r="E914" t="s">
        <v>8</v>
      </c>
      <c r="F914" s="1" cm="1">
        <f t="array" ref="F914">SUMPRODUCT(([1]OUT_FinalEnergyCons!$B$4:$B$10000="Var_Fin")*1,ISNUMBER(SEARCH("SPLT",[1]OUT_FinalEnergyCons!$C$4:$C$10000))*1, (ISNUMBER(SEARCH("SCOM-SHPLTBR",[1]OUT_FinalEnergyCons!$A$4:$A$10000)))*1,[1]OUT_FinalEnergyCons!D$4:D$10000)</f>
        <v>2.0856385008996914</v>
      </c>
      <c r="G914" s="1" cm="1">
        <f t="array" ref="G914">SUMPRODUCT(([1]OUT_FinalEnergyCons!$B$4:$B$10000="Var_Fin")*1,ISNUMBER(SEARCH("SPLT",[1]OUT_FinalEnergyCons!$C$4:$C$10000))*1, (ISNUMBER(SEARCH("SCOM-SHPLTBR",[1]OUT_FinalEnergyCons!$A$4:$A$10000)))*1,[1]OUT_FinalEnergyCons!E$4:E$10000)</f>
        <v>2.4000947971937161</v>
      </c>
      <c r="H914" s="1" cm="1">
        <f t="array" ref="H914">SUMPRODUCT(([1]OUT_FinalEnergyCons!$B$4:$B$10000="Var_Fin")*1,ISNUMBER(SEARCH("SPLT",[1]OUT_FinalEnergyCons!$C$4:$C$10000))*1, (ISNUMBER(SEARCH("SCOM-SHPLTBR",[1]OUT_FinalEnergyCons!$A$4:$A$10000)))*1,[1]OUT_FinalEnergyCons!F$4:F$10000)</f>
        <v>0.99273747386311573</v>
      </c>
      <c r="I914" s="1" cm="1">
        <f t="array" ref="I914">SUMPRODUCT(([1]OUT_FinalEnergyCons!$B$4:$B$10000="Var_Fin")*1,ISNUMBER(SEARCH("SPLT",[1]OUT_FinalEnergyCons!$C$4:$C$10000))*1, (ISNUMBER(SEARCH("SCOM-SHPLTBR",[1]OUT_FinalEnergyCons!$A$4:$A$10000)))*1,[1]OUT_FinalEnergyCons!G$4:G$10000)</f>
        <v>1.2286335989559629</v>
      </c>
      <c r="J914" s="1" cm="1">
        <f t="array" ref="J914">SUMPRODUCT(([1]OUT_FinalEnergyCons!$B$4:$B$10000="Var_Fin")*1,ISNUMBER(SEARCH("SPLT",[1]OUT_FinalEnergyCons!$C$4:$C$10000))*1, (ISNUMBER(SEARCH("SCOM-SHPLTBR",[1]OUT_FinalEnergyCons!$A$4:$A$10000)))*1,[1]OUT_FinalEnergyCons!H$4:H$10000)</f>
        <v>1.4702029585535055</v>
      </c>
      <c r="K914" s="1" cm="1">
        <f t="array" ref="K914">SUMPRODUCT(([1]OUT_FinalEnergyCons!$B$4:$B$10000="Var_Fin")*1,ISNUMBER(SEARCH("SPLT",[1]OUT_FinalEnergyCons!$C$4:$C$10000))*1, (ISNUMBER(SEARCH("SCOM-SHPLTBR",[1]OUT_FinalEnergyCons!$A$4:$A$10000)))*1,[1]OUT_FinalEnergyCons!I$4:I$10000)</f>
        <v>1.2351741255803015</v>
      </c>
    </row>
    <row r="915" spans="2:12" x14ac:dyDescent="0.35">
      <c r="B915" s="5" t="str">
        <f t="shared" si="613"/>
        <v>SPS1</v>
      </c>
      <c r="C915" s="5" t="str">
        <f t="shared" si="614"/>
        <v>CH</v>
      </c>
      <c r="D915" t="s">
        <v>976</v>
      </c>
      <c r="E915" t="s">
        <v>8</v>
      </c>
      <c r="F915" s="1">
        <f>F916</f>
        <v>0.62700236351243477</v>
      </c>
      <c r="G915" s="1">
        <f t="shared" ref="G915:K915" si="633">G916</f>
        <v>0.68734756457837476</v>
      </c>
      <c r="H915" s="1">
        <f t="shared" si="633"/>
        <v>0.56684195491036959</v>
      </c>
      <c r="I915" s="1">
        <f t="shared" si="633"/>
        <v>0.77162206781883058</v>
      </c>
      <c r="J915" s="1">
        <f t="shared" si="633"/>
        <v>1.1384095173270821</v>
      </c>
      <c r="K915" s="1">
        <f t="shared" si="633"/>
        <v>1.3103178614295308</v>
      </c>
    </row>
    <row r="916" spans="2:12" x14ac:dyDescent="0.35">
      <c r="B916" s="5" t="str">
        <f t="shared" si="613"/>
        <v>SPS1</v>
      </c>
      <c r="C916" s="5" t="str">
        <f t="shared" si="614"/>
        <v>CH</v>
      </c>
      <c r="D916" t="s">
        <v>977</v>
      </c>
      <c r="E916" t="s">
        <v>8</v>
      </c>
      <c r="F916" s="1">
        <f>[1]Services!B$19</f>
        <v>0.62700236351243477</v>
      </c>
      <c r="G916" s="1">
        <f>[1]Services!C$19</f>
        <v>0.68734756457837476</v>
      </c>
      <c r="H916" s="1">
        <f>[1]Services!D$19</f>
        <v>0.56684195491036959</v>
      </c>
      <c r="I916" s="1">
        <f>[1]Services!E$19</f>
        <v>0.77162206781883058</v>
      </c>
      <c r="J916" s="1">
        <f>[1]Services!F$19</f>
        <v>1.1384095173270821</v>
      </c>
      <c r="K916" s="1">
        <f>[1]Services!G$19</f>
        <v>1.3103178614295308</v>
      </c>
    </row>
    <row r="917" spans="2:12" x14ac:dyDescent="0.35">
      <c r="B917" s="5" t="str">
        <f t="shared" si="613"/>
        <v>SPS1</v>
      </c>
      <c r="C917" s="5" t="str">
        <f t="shared" si="614"/>
        <v>CH</v>
      </c>
      <c r="D917" t="s">
        <v>978</v>
      </c>
      <c r="E917" t="s">
        <v>8</v>
      </c>
      <c r="F917" s="1">
        <f>[1]Services!B$20</f>
        <v>0</v>
      </c>
      <c r="G917" s="1">
        <f>[1]Services!C$20</f>
        <v>0</v>
      </c>
      <c r="H917" s="1">
        <f>[1]Services!D$20</f>
        <v>0</v>
      </c>
      <c r="I917" s="1">
        <f>[1]Services!E$20</f>
        <v>3.9252334587884123E-4</v>
      </c>
      <c r="J917" s="1">
        <f>[1]Services!F$20</f>
        <v>1.2525752398556234E-2</v>
      </c>
      <c r="K917" s="1">
        <f>[1]Services!G$20</f>
        <v>8.1381970009194657E-3</v>
      </c>
    </row>
    <row r="918" spans="2:12" x14ac:dyDescent="0.35">
      <c r="B918" s="5" t="str">
        <f t="shared" si="613"/>
        <v>SPS1</v>
      </c>
      <c r="C918" s="5" t="str">
        <f t="shared" si="614"/>
        <v>CH</v>
      </c>
      <c r="D918" t="s">
        <v>746</v>
      </c>
      <c r="E918" t="s">
        <v>8</v>
      </c>
      <c r="F918" s="1">
        <f>F917-F919</f>
        <v>0</v>
      </c>
      <c r="G918" s="1">
        <f t="shared" ref="G918:K918" si="634">G917-G919</f>
        <v>0</v>
      </c>
      <c r="H918" s="1">
        <f t="shared" si="634"/>
        <v>0</v>
      </c>
      <c r="I918" s="1">
        <f t="shared" si="634"/>
        <v>0</v>
      </c>
      <c r="J918" s="1">
        <f t="shared" si="634"/>
        <v>0</v>
      </c>
      <c r="K918" s="1">
        <f t="shared" si="634"/>
        <v>0</v>
      </c>
    </row>
    <row r="919" spans="2:12" x14ac:dyDescent="0.35">
      <c r="B919" s="5" t="str">
        <f t="shared" si="613"/>
        <v>SPS1</v>
      </c>
      <c r="C919" s="5" t="str">
        <f t="shared" si="614"/>
        <v>CH</v>
      </c>
      <c r="D919" t="s">
        <v>747</v>
      </c>
      <c r="E919" t="s">
        <v>8</v>
      </c>
      <c r="F919" s="1">
        <f>F920</f>
        <v>0</v>
      </c>
      <c r="G919" s="1">
        <f t="shared" ref="G919:K919" si="635">G920</f>
        <v>0</v>
      </c>
      <c r="H919" s="1">
        <f t="shared" si="635"/>
        <v>0</v>
      </c>
      <c r="I919" s="1">
        <f t="shared" si="635"/>
        <v>3.9252334587884123E-4</v>
      </c>
      <c r="J919" s="1">
        <f t="shared" si="635"/>
        <v>1.2525752398556234E-2</v>
      </c>
      <c r="K919" s="1">
        <f t="shared" si="635"/>
        <v>8.1381970009194657E-3</v>
      </c>
    </row>
    <row r="920" spans="2:12" x14ac:dyDescent="0.35">
      <c r="B920" s="5" t="str">
        <f>B917</f>
        <v>SPS1</v>
      </c>
      <c r="C920" s="5" t="str">
        <f>C917</f>
        <v>CH</v>
      </c>
      <c r="D920" t="s">
        <v>979</v>
      </c>
      <c r="E920" t="s">
        <v>8</v>
      </c>
      <c r="F920" s="1">
        <f>[1]Services!B$20</f>
        <v>0</v>
      </c>
      <c r="G920" s="1">
        <f>[1]Services!C$20</f>
        <v>0</v>
      </c>
      <c r="H920" s="1">
        <f>[1]Services!D$20</f>
        <v>0</v>
      </c>
      <c r="I920" s="1">
        <f>[1]Services!E$20</f>
        <v>3.9252334587884123E-4</v>
      </c>
      <c r="J920" s="1">
        <f>[1]Services!F$20</f>
        <v>1.2525752398556234E-2</v>
      </c>
      <c r="K920" s="1">
        <f>[1]Services!G$20</f>
        <v>8.1381970009194657E-3</v>
      </c>
    </row>
    <row r="921" spans="2:12" x14ac:dyDescent="0.35">
      <c r="B921" s="5" t="str">
        <f t="shared" si="613"/>
        <v>SPS1</v>
      </c>
      <c r="C921" s="5" t="str">
        <f t="shared" si="614"/>
        <v>CH</v>
      </c>
      <c r="D921" t="s">
        <v>980</v>
      </c>
      <c r="E921" t="s">
        <v>8</v>
      </c>
      <c r="F921" s="1">
        <f>F922</f>
        <v>2.9296079019208223</v>
      </c>
      <c r="G921" s="1">
        <f t="shared" ref="G921:K921" si="636">G922</f>
        <v>3.1924603032805594</v>
      </c>
      <c r="H921" s="1">
        <f t="shared" si="636"/>
        <v>3.5204275460170558</v>
      </c>
      <c r="I921" s="1">
        <f t="shared" si="636"/>
        <v>10.036811814834255</v>
      </c>
      <c r="J921" s="1">
        <f t="shared" si="636"/>
        <v>18.112658801687179</v>
      </c>
      <c r="K921" s="1">
        <f t="shared" si="636"/>
        <v>19.832657258636807</v>
      </c>
    </row>
    <row r="922" spans="2:12" x14ac:dyDescent="0.35">
      <c r="B922" s="5" t="str">
        <f t="shared" si="613"/>
        <v>SPS1</v>
      </c>
      <c r="C922" s="5" t="str">
        <f t="shared" si="614"/>
        <v>CH</v>
      </c>
      <c r="D922" t="s">
        <v>981</v>
      </c>
      <c r="E922" t="s">
        <v>8</v>
      </c>
      <c r="F922" s="1">
        <f>[1]Services!B$21-F923</f>
        <v>2.9296079019208223</v>
      </c>
      <c r="G922" s="1">
        <f>[1]Services!C$21-G923</f>
        <v>3.1924603032805594</v>
      </c>
      <c r="H922" s="1">
        <f>[1]Services!D$21-H923</f>
        <v>3.5204275460170558</v>
      </c>
      <c r="I922" s="1">
        <f>[1]Services!E$21-I923</f>
        <v>10.036811814834255</v>
      </c>
      <c r="J922" s="1">
        <f>[1]Services!F$21-J923</f>
        <v>18.112658801687179</v>
      </c>
      <c r="K922" s="1">
        <f>[1]Services!G$21-K923</f>
        <v>19.832657258636807</v>
      </c>
    </row>
    <row r="923" spans="2:12" x14ac:dyDescent="0.35">
      <c r="B923" s="5" t="str">
        <f t="shared" ref="B923" si="637">B922</f>
        <v>SPS1</v>
      </c>
      <c r="C923" s="5" t="str">
        <f t="shared" ref="C923" si="638">C922</f>
        <v>CH</v>
      </c>
      <c r="D923" t="s">
        <v>982</v>
      </c>
      <c r="E923" t="s">
        <v>8</v>
      </c>
      <c r="F923" s="1">
        <f>[1]Services!B$50-F894</f>
        <v>0</v>
      </c>
      <c r="G923" s="1">
        <f>[1]Services!C$50-G894</f>
        <v>0</v>
      </c>
      <c r="H923" s="1">
        <f>[1]Services!D$50-H894</f>
        <v>0.87517211705330078</v>
      </c>
      <c r="I923" s="1">
        <f>[1]Services!E$50-I894</f>
        <v>1.5754928704785351</v>
      </c>
      <c r="J923" s="1">
        <f>[1]Services!F$50-J894</f>
        <v>2.7773696707434445</v>
      </c>
      <c r="K923" s="1">
        <f>[1]Services!G$50-K894</f>
        <v>3.0075367669021058</v>
      </c>
    </row>
    <row r="924" spans="2:12" x14ac:dyDescent="0.35">
      <c r="B924" s="9" t="str">
        <f>B852</f>
        <v>SPS1</v>
      </c>
      <c r="C924" s="9" t="str">
        <f>C852</f>
        <v>CH</v>
      </c>
      <c r="D924" s="2" t="s">
        <v>697</v>
      </c>
      <c r="E924" s="9" t="s">
        <v>8</v>
      </c>
      <c r="F924" s="17">
        <f>[1]Services!B$59</f>
        <v>73.238417331630529</v>
      </c>
      <c r="G924" s="17">
        <f>[1]Services!C$59</f>
        <v>78.574066812222469</v>
      </c>
      <c r="H924" s="17">
        <f>[1]Services!D$59</f>
        <v>62.438680804754831</v>
      </c>
      <c r="I924" s="17">
        <f>[1]Services!E$59</f>
        <v>60.785287992268124</v>
      </c>
      <c r="J924" s="17">
        <f>[1]Services!F$59</f>
        <v>59.81044766372468</v>
      </c>
      <c r="K924" s="17">
        <f>[1]Services!G$59</f>
        <v>58.235255957924167</v>
      </c>
    </row>
    <row r="925" spans="2:12" x14ac:dyDescent="0.35">
      <c r="B925" s="5" t="str">
        <f>B924</f>
        <v>SPS1</v>
      </c>
      <c r="C925" s="5" t="str">
        <f>C924</f>
        <v>CH</v>
      </c>
      <c r="D925" t="s">
        <v>983</v>
      </c>
      <c r="E925" t="s">
        <v>8</v>
      </c>
      <c r="F925" s="1">
        <f>SUM(F926:F928)</f>
        <v>63.650079072821079</v>
      </c>
      <c r="G925" s="1">
        <f t="shared" ref="G925:K925" si="639">SUM(G926:G928)</f>
        <v>63.574832850300538</v>
      </c>
      <c r="H925" s="1">
        <f t="shared" si="639"/>
        <v>64.446730657017952</v>
      </c>
      <c r="I925" s="1">
        <f t="shared" si="639"/>
        <v>69.956242539031066</v>
      </c>
      <c r="J925" s="1">
        <f t="shared" si="639"/>
        <v>77.493481289907692</v>
      </c>
      <c r="K925" s="1">
        <f t="shared" si="639"/>
        <v>75.750640478478871</v>
      </c>
    </row>
    <row r="926" spans="2:12" x14ac:dyDescent="0.35">
      <c r="B926" s="5" t="str">
        <f>B925</f>
        <v>SPS1</v>
      </c>
      <c r="C926" s="5" t="str">
        <f>C925</f>
        <v>CH</v>
      </c>
      <c r="D926" t="s">
        <v>760</v>
      </c>
      <c r="E926" t="s">
        <v>8</v>
      </c>
      <c r="F926" s="1" cm="1">
        <f t="array" ref="F926">SUMPRODUCT(([1]OUT_FinalEnergyCons!$B$4:$B$10000="Var_FOut")*1, ISNUMBER(SEARCH("SCOM-SHAELC",[1]OUT_FinalEnergyCons!$C$4:$C$10000))*1, (ISNUMBER(SEARCH("SCOM-SHELCBR",[1]OUT_FinalEnergyCons!$A$4:$A$10000)))*1,[1]OUT_FinalEnergyCons!D$4:D$10000)</f>
        <v>2.3940566405692616</v>
      </c>
      <c r="G926" s="1" cm="1">
        <f t="array" ref="G926">SUMPRODUCT(([1]OUT_FinalEnergyCons!$B$4:$B$10000="Var_FOut")*1, ISNUMBER(SEARCH("SCOM-SHAELC",[1]OUT_FinalEnergyCons!$C$4:$C$10000))*1, (ISNUMBER(SEARCH("SCOM-SHELCBR",[1]OUT_FinalEnergyCons!$A$4:$A$10000)))*1,[1]OUT_FinalEnergyCons!E$4:E$10000)</f>
        <v>0.25527027143349157</v>
      </c>
      <c r="H926" s="1" cm="1">
        <f t="array" ref="H926">SUMPRODUCT(([1]OUT_FinalEnergyCons!$B$4:$B$10000="Var_FOut")*1, ISNUMBER(SEARCH("SCOM-SHAELC",[1]OUT_FinalEnergyCons!$C$4:$C$10000))*1, (ISNUMBER(SEARCH("SCOM-SHELCBR",[1]OUT_FinalEnergyCons!$A$4:$A$10000)))*1,[1]OUT_FinalEnergyCons!F$4:F$10000)</f>
        <v>0.51353642039265535</v>
      </c>
      <c r="I926" s="1" cm="1">
        <f t="array" ref="I926">SUMPRODUCT(([1]OUT_FinalEnergyCons!$B$4:$B$10000="Var_FOut")*1, ISNUMBER(SEARCH("SCOM-SHAELC",[1]OUT_FinalEnergyCons!$C$4:$C$10000))*1, (ISNUMBER(SEARCH("SCOM-SHELCBR",[1]OUT_FinalEnergyCons!$A$4:$A$10000)))*1,[1]OUT_FinalEnergyCons!G$4:G$10000)</f>
        <v>0.29210804953843245</v>
      </c>
      <c r="J926" s="1" cm="1">
        <f t="array" ref="J926">SUMPRODUCT(([1]OUT_FinalEnergyCons!$B$4:$B$10000="Var_FOut")*1, ISNUMBER(SEARCH("SCOM-SHAELC",[1]OUT_FinalEnergyCons!$C$4:$C$10000))*1, (ISNUMBER(SEARCH("SCOM-SHELCBR",[1]OUT_FinalEnergyCons!$A$4:$A$10000)))*1,[1]OUT_FinalEnergyCons!H$4:H$10000)</f>
        <v>0.21407541540488012</v>
      </c>
      <c r="K926" s="1" cm="1">
        <f t="array" ref="K926">SUMPRODUCT(([1]OUT_FinalEnergyCons!$B$4:$B$10000="Var_FOut")*1, ISNUMBER(SEARCH("SCOM-SHAELC",[1]OUT_FinalEnergyCons!$C$4:$C$10000))*1, (ISNUMBER(SEARCH("SCOM-SHELCBR",[1]OUT_FinalEnergyCons!$A$4:$A$10000)))*1,[1]OUT_FinalEnergyCons!I$4:I$10000)</f>
        <v>0.16092055229375374</v>
      </c>
    </row>
    <row r="927" spans="2:12" x14ac:dyDescent="0.35">
      <c r="B927" s="5" t="str">
        <f t="shared" ref="B927:B930" si="640">B926</f>
        <v>SPS1</v>
      </c>
      <c r="C927" s="5" t="str">
        <f t="shared" ref="C927:C930" si="641">C926</f>
        <v>CH</v>
      </c>
      <c r="D927" t="s">
        <v>729</v>
      </c>
      <c r="E927" t="s">
        <v>8</v>
      </c>
      <c r="F927" s="1">
        <f>[1]Services!B$47</f>
        <v>4.2612478573393773</v>
      </c>
      <c r="G927" s="1">
        <f>[1]Services!C$47</f>
        <v>4.6176657958165226</v>
      </c>
      <c r="H927" s="1">
        <f>[1]Services!D$47</f>
        <v>5.4183315755164925</v>
      </c>
      <c r="I927" s="1">
        <f>[1]Services!E$47</f>
        <v>14.33798849993341</v>
      </c>
      <c r="J927" s="1">
        <f>[1]Services!F$47</f>
        <v>24.870748228317314</v>
      </c>
      <c r="K927" s="1">
        <f>[1]Services!G$47</f>
        <v>26.643310137112682</v>
      </c>
    </row>
    <row r="928" spans="2:12" x14ac:dyDescent="0.35">
      <c r="B928" s="5" t="str">
        <f t="shared" si="640"/>
        <v>SPS1</v>
      </c>
      <c r="C928" s="5" t="str">
        <f t="shared" si="641"/>
        <v>CH</v>
      </c>
      <c r="D928" t="s">
        <v>691</v>
      </c>
      <c r="E928" t="s">
        <v>8</v>
      </c>
      <c r="F928" s="1">
        <f>[1]Services!B$3-([1]Services!B$6-[1]Services!B$58)</f>
        <v>56.994774574912441</v>
      </c>
      <c r="G928" s="1">
        <f>[1]Services!C$3-([1]Services!C$6-[1]Services!C$58)</f>
        <v>58.701896783050522</v>
      </c>
      <c r="H928" s="1">
        <f>[1]Services!D$3-([1]Services!D$6-[1]Services!D$58)</f>
        <v>58.514862661108808</v>
      </c>
      <c r="I928" s="1">
        <f>[1]Services!E$3-([1]Services!E$6-[1]Services!E$58)</f>
        <v>55.326145989559222</v>
      </c>
      <c r="J928" s="1">
        <f>[1]Services!F$3-([1]Services!F$6-[1]Services!F$58)</f>
        <v>52.408657646185489</v>
      </c>
      <c r="K928" s="1">
        <f>[1]Services!G$3-([1]Services!G$6-[1]Services!G$58)</f>
        <v>48.946409789072433</v>
      </c>
      <c r="L928" s="1"/>
    </row>
    <row r="929" spans="2:11" x14ac:dyDescent="0.35">
      <c r="B929" s="5" t="str">
        <f t="shared" si="640"/>
        <v>SPS1</v>
      </c>
      <c r="C929" s="5" t="str">
        <f t="shared" si="641"/>
        <v>CH</v>
      </c>
      <c r="D929" t="s">
        <v>1041</v>
      </c>
      <c r="E929" t="s">
        <v>8</v>
      </c>
      <c r="F929" s="1">
        <f>F930</f>
        <v>24.843071500442964</v>
      </c>
      <c r="G929" s="1">
        <f t="shared" ref="G929:K929" si="642">G930</f>
        <v>22.035253293146862</v>
      </c>
      <c r="H929" s="1">
        <f t="shared" si="642"/>
        <v>19.290286728950004</v>
      </c>
      <c r="I929" s="1">
        <f t="shared" si="642"/>
        <v>10.419896555350174</v>
      </c>
      <c r="J929" s="1">
        <f t="shared" si="642"/>
        <v>2.756503180556098</v>
      </c>
      <c r="K929" s="1">
        <f t="shared" si="642"/>
        <v>7.0918105217748509E-2</v>
      </c>
    </row>
    <row r="930" spans="2:11" x14ac:dyDescent="0.35">
      <c r="B930" s="5" t="str">
        <f t="shared" si="640"/>
        <v>SPS1</v>
      </c>
      <c r="C930" s="5" t="str">
        <f t="shared" si="641"/>
        <v>CH</v>
      </c>
      <c r="D930" t="s">
        <v>1042</v>
      </c>
      <c r="E930" t="s">
        <v>8</v>
      </c>
      <c r="F930" s="1">
        <f>[1]Services!B$48</f>
        <v>24.843071500442964</v>
      </c>
      <c r="G930" s="1">
        <f>[1]Services!C$48</f>
        <v>22.035253293146862</v>
      </c>
      <c r="H930" s="1">
        <f>[1]Services!D$48</f>
        <v>19.290286728950004</v>
      </c>
      <c r="I930" s="1">
        <f>[1]Services!E$48</f>
        <v>10.419896555350174</v>
      </c>
      <c r="J930" s="1">
        <f>[1]Services!F$48</f>
        <v>2.756503180556098</v>
      </c>
      <c r="K930" s="1">
        <f>[1]Services!G$48</f>
        <v>7.0918105217748509E-2</v>
      </c>
    </row>
    <row r="931" spans="2:11" x14ac:dyDescent="0.35">
      <c r="B931" s="5" t="str">
        <f>B930</f>
        <v>SPS1</v>
      </c>
      <c r="C931" s="5" t="str">
        <f>C930</f>
        <v>CH</v>
      </c>
      <c r="D931" t="s">
        <v>1043</v>
      </c>
      <c r="E931" t="s">
        <v>8</v>
      </c>
      <c r="F931" s="1">
        <f>SUM(F932:F934)</f>
        <v>25.412789539416263</v>
      </c>
      <c r="G931" s="1">
        <f t="shared" ref="G931:K931" si="643">SUM(G932:G934)</f>
        <v>26.667697378935316</v>
      </c>
      <c r="H931" s="1">
        <f t="shared" si="643"/>
        <v>21.033000492323882</v>
      </c>
      <c r="I931" s="1">
        <f t="shared" si="643"/>
        <v>16.033403213596653</v>
      </c>
      <c r="J931" s="1">
        <f t="shared" si="643"/>
        <v>8.4216964004426558</v>
      </c>
      <c r="K931" s="1">
        <f t="shared" si="643"/>
        <v>6.1935898983543805</v>
      </c>
    </row>
    <row r="932" spans="2:11" x14ac:dyDescent="0.35">
      <c r="B932" s="5" t="str">
        <f t="shared" ref="B932:B951" si="644">B931</f>
        <v>SPS1</v>
      </c>
      <c r="C932" s="5" t="str">
        <f t="shared" ref="C932:C951" si="645">C931</f>
        <v>CH</v>
      </c>
      <c r="D932" t="s">
        <v>1044</v>
      </c>
      <c r="E932" t="s">
        <v>8</v>
      </c>
      <c r="F932" s="1">
        <f>[1]Services!B$49</f>
        <v>24.189718242158317</v>
      </c>
      <c r="G932" s="1">
        <f>[1]Services!C$49</f>
        <v>25.326924599046958</v>
      </c>
      <c r="H932" s="1">
        <f>[1]Services!D$49</f>
        <v>19.216132732339041</v>
      </c>
      <c r="I932" s="1">
        <f>[1]Services!E$49</f>
        <v>12.93728588944184</v>
      </c>
      <c r="J932" s="1">
        <f>[1]Services!F$49</f>
        <v>3.317849429568017</v>
      </c>
      <c r="K932" s="1">
        <f>[1]Services!G$49</f>
        <v>1.0289366557732789</v>
      </c>
    </row>
    <row r="933" spans="2:11" x14ac:dyDescent="0.35">
      <c r="B933" s="5" t="str">
        <f t="shared" ref="B933" si="646">B932</f>
        <v>SPS1</v>
      </c>
      <c r="C933" s="5" t="str">
        <f t="shared" ref="C933" si="647">C932</f>
        <v>CH</v>
      </c>
      <c r="D933" t="s">
        <v>1045</v>
      </c>
      <c r="E933" t="s">
        <v>8</v>
      </c>
      <c r="F933" s="1">
        <f>[1]Services!B$50</f>
        <v>0</v>
      </c>
      <c r="G933" s="1">
        <f>[1]Services!C$50</f>
        <v>0</v>
      </c>
      <c r="H933" s="1">
        <f>[1]Services!D$50</f>
        <v>1.8168677599848411</v>
      </c>
      <c r="I933" s="1">
        <f>[1]Services!E$50</f>
        <v>3.0961173241548132</v>
      </c>
      <c r="J933" s="1">
        <f>[1]Services!F$50</f>
        <v>5.1038469708746392</v>
      </c>
      <c r="K933" s="1">
        <f>[1]Services!G$50</f>
        <v>5.1646532425811014</v>
      </c>
    </row>
    <row r="934" spans="2:11" x14ac:dyDescent="0.35">
      <c r="B934" s="5" t="str">
        <f>B932</f>
        <v>SPS1</v>
      </c>
      <c r="C934" s="5" t="str">
        <f>C932</f>
        <v>CH</v>
      </c>
      <c r="D934" t="s">
        <v>1046</v>
      </c>
      <c r="E934" t="s">
        <v>8</v>
      </c>
      <c r="F934" s="1">
        <f>[1]Services!B$56</f>
        <v>1.2230712972579456</v>
      </c>
      <c r="G934" s="1">
        <f>[1]Services!C$56</f>
        <v>1.340772779888358</v>
      </c>
      <c r="H934" s="1">
        <f>[1]Services!D$56</f>
        <v>0</v>
      </c>
      <c r="I934" s="1">
        <f>[1]Services!E$56</f>
        <v>0</v>
      </c>
      <c r="J934" s="1">
        <f>[1]Services!F$56</f>
        <v>0</v>
      </c>
      <c r="K934" s="1">
        <f>[1]Services!G$56</f>
        <v>0</v>
      </c>
    </row>
    <row r="935" spans="2:11" x14ac:dyDescent="0.35">
      <c r="B935" s="5" t="str">
        <f t="shared" si="644"/>
        <v>SPS1</v>
      </c>
      <c r="C935" s="5" t="str">
        <f t="shared" si="645"/>
        <v>CH</v>
      </c>
      <c r="D935" t="s">
        <v>984</v>
      </c>
      <c r="E935" t="s">
        <v>8</v>
      </c>
      <c r="F935" s="1">
        <f>F936+F942</f>
        <v>7.6496266992817787</v>
      </c>
      <c r="G935" s="1">
        <f t="shared" ref="G935:K935" si="648">G936+G942</f>
        <v>8.2860041983056014</v>
      </c>
      <c r="H935" s="1">
        <f t="shared" si="648"/>
        <v>4.9037774653385888</v>
      </c>
      <c r="I935" s="1">
        <f t="shared" si="648"/>
        <v>5.9987517392518201</v>
      </c>
      <c r="J935" s="1">
        <f t="shared" si="648"/>
        <v>6.6718138063631622</v>
      </c>
      <c r="K935" s="1">
        <f t="shared" si="648"/>
        <v>6.1436362454084934</v>
      </c>
    </row>
    <row r="936" spans="2:11" x14ac:dyDescent="0.35">
      <c r="B936" s="5" t="str">
        <f t="shared" si="644"/>
        <v>SPS1</v>
      </c>
      <c r="C936" s="5" t="str">
        <f t="shared" si="645"/>
        <v>CH</v>
      </c>
      <c r="D936" t="s">
        <v>985</v>
      </c>
      <c r="E936" t="s">
        <v>8</v>
      </c>
      <c r="F936" s="1">
        <f>[1]Services!B$51</f>
        <v>2.0957218900213972</v>
      </c>
      <c r="G936" s="1">
        <f>[1]Services!C$51</f>
        <v>2.2700666040526158</v>
      </c>
      <c r="H936" s="1">
        <f>[1]Services!D$51</f>
        <v>0</v>
      </c>
      <c r="I936" s="1">
        <f>[1]Services!E$51</f>
        <v>0</v>
      </c>
      <c r="J936" s="1">
        <f>[1]Services!F$51</f>
        <v>0</v>
      </c>
      <c r="K936" s="1">
        <f>[1]Services!G$51</f>
        <v>0</v>
      </c>
    </row>
    <row r="937" spans="2:11" x14ac:dyDescent="0.35">
      <c r="B937" s="5" t="str">
        <f t="shared" si="644"/>
        <v>SPS1</v>
      </c>
      <c r="C937" s="5" t="str">
        <f t="shared" si="645"/>
        <v>CH</v>
      </c>
      <c r="D937" t="s">
        <v>692</v>
      </c>
      <c r="E937" t="s">
        <v>8</v>
      </c>
      <c r="F937" s="1">
        <f>IFERROR(F905/F$904,0)*F$936</f>
        <v>1.4100589893748328</v>
      </c>
      <c r="G937" s="1">
        <f t="shared" ref="G937:K937" si="649">IFERROR(G905/G$904,0)*G$936</f>
        <v>1.52736042441783</v>
      </c>
      <c r="H937" s="1">
        <f t="shared" si="649"/>
        <v>0</v>
      </c>
      <c r="I937" s="1">
        <f t="shared" si="649"/>
        <v>0</v>
      </c>
      <c r="J937" s="1">
        <f t="shared" si="649"/>
        <v>0</v>
      </c>
      <c r="K937" s="1">
        <f t="shared" si="649"/>
        <v>0</v>
      </c>
    </row>
    <row r="938" spans="2:11" x14ac:dyDescent="0.35">
      <c r="B938" s="5" t="str">
        <f t="shared" si="644"/>
        <v>SPS1</v>
      </c>
      <c r="C938" s="5" t="str">
        <f t="shared" si="645"/>
        <v>CH</v>
      </c>
      <c r="D938" t="s">
        <v>693</v>
      </c>
      <c r="E938" t="s">
        <v>8</v>
      </c>
      <c r="F938" s="1">
        <f>IFERROR(F906/F$904,0)*F$936</f>
        <v>0.68566290064656454</v>
      </c>
      <c r="G938" s="1">
        <f t="shared" ref="G938:K941" si="650">IFERROR(G906/G$904,0)*G$936</f>
        <v>0.7427061796347858</v>
      </c>
      <c r="H938" s="1">
        <f t="shared" si="650"/>
        <v>0</v>
      </c>
      <c r="I938" s="1">
        <f t="shared" si="650"/>
        <v>0</v>
      </c>
      <c r="J938" s="1">
        <f t="shared" si="650"/>
        <v>0</v>
      </c>
      <c r="K938" s="1">
        <f t="shared" si="650"/>
        <v>0</v>
      </c>
    </row>
    <row r="939" spans="2:11" x14ac:dyDescent="0.35">
      <c r="B939" s="5" t="str">
        <f t="shared" si="644"/>
        <v>SPS1</v>
      </c>
      <c r="C939" s="5" t="str">
        <f t="shared" si="645"/>
        <v>CH</v>
      </c>
      <c r="D939" t="s">
        <v>694</v>
      </c>
      <c r="E939" t="s">
        <v>8</v>
      </c>
      <c r="F939" s="1">
        <f>IFERROR(F907/F$904,0)*F$936</f>
        <v>0</v>
      </c>
      <c r="G939" s="1">
        <f t="shared" si="650"/>
        <v>0</v>
      </c>
      <c r="H939" s="1">
        <f t="shared" si="650"/>
        <v>0</v>
      </c>
      <c r="I939" s="1">
        <f t="shared" si="650"/>
        <v>0</v>
      </c>
      <c r="J939" s="1">
        <f t="shared" si="650"/>
        <v>0</v>
      </c>
      <c r="K939" s="1">
        <f t="shared" si="650"/>
        <v>0</v>
      </c>
    </row>
    <row r="940" spans="2:11" x14ac:dyDescent="0.35">
      <c r="B940" s="5" t="str">
        <f t="shared" si="644"/>
        <v>SPS1</v>
      </c>
      <c r="C940" s="5" t="str">
        <f t="shared" si="645"/>
        <v>CH</v>
      </c>
      <c r="D940" t="s">
        <v>695</v>
      </c>
      <c r="E940" t="s">
        <v>8</v>
      </c>
      <c r="F940" s="1">
        <f>IFERROR(F908/F$904,0)*F$936</f>
        <v>0</v>
      </c>
      <c r="G940" s="1">
        <f t="shared" si="650"/>
        <v>0</v>
      </c>
      <c r="H940" s="1">
        <f t="shared" si="650"/>
        <v>0</v>
      </c>
      <c r="I940" s="1">
        <f t="shared" si="650"/>
        <v>0</v>
      </c>
      <c r="J940" s="1">
        <f t="shared" si="650"/>
        <v>0</v>
      </c>
      <c r="K940" s="1">
        <f t="shared" si="650"/>
        <v>0</v>
      </c>
    </row>
    <row r="941" spans="2:11" x14ac:dyDescent="0.35">
      <c r="B941" s="5" t="str">
        <f t="shared" si="644"/>
        <v>SPS1</v>
      </c>
      <c r="C941" s="5" t="str">
        <f t="shared" si="645"/>
        <v>CH</v>
      </c>
      <c r="D941" t="s">
        <v>696</v>
      </c>
      <c r="E941" t="s">
        <v>8</v>
      </c>
      <c r="F941" s="1">
        <f>IFERROR(F909/F$904,0)*F$936</f>
        <v>0</v>
      </c>
      <c r="G941" s="1">
        <f t="shared" si="650"/>
        <v>0</v>
      </c>
      <c r="H941" s="1">
        <f t="shared" si="650"/>
        <v>0</v>
      </c>
      <c r="I941" s="1">
        <f t="shared" si="650"/>
        <v>0</v>
      </c>
      <c r="J941" s="1">
        <f t="shared" si="650"/>
        <v>0</v>
      </c>
      <c r="K941" s="1">
        <f t="shared" si="650"/>
        <v>0</v>
      </c>
    </row>
    <row r="942" spans="2:11" x14ac:dyDescent="0.35">
      <c r="B942" s="5" t="str">
        <f t="shared" si="644"/>
        <v>SPS1</v>
      </c>
      <c r="C942" s="5" t="str">
        <f t="shared" si="645"/>
        <v>CH</v>
      </c>
      <c r="D942" t="s">
        <v>986</v>
      </c>
      <c r="E942" t="s">
        <v>8</v>
      </c>
      <c r="F942" s="1">
        <f>[1]Services!B$52</f>
        <v>5.5539048092603815</v>
      </c>
      <c r="G942" s="1">
        <f>[1]Services!C$52</f>
        <v>6.0159375942529856</v>
      </c>
      <c r="H942" s="1">
        <f>[1]Services!D$52</f>
        <v>4.9037774653385888</v>
      </c>
      <c r="I942" s="1">
        <f>[1]Services!E$52</f>
        <v>5.9987517392518201</v>
      </c>
      <c r="J942" s="1">
        <f>[1]Services!F$52</f>
        <v>6.6718138063631622</v>
      </c>
      <c r="K942" s="1">
        <f>[1]Services!G$52</f>
        <v>6.1436362454084934</v>
      </c>
    </row>
    <row r="943" spans="2:11" x14ac:dyDescent="0.35">
      <c r="B943" s="5" t="str">
        <f t="shared" si="644"/>
        <v>SPS1</v>
      </c>
      <c r="C943" s="5" t="str">
        <f t="shared" si="645"/>
        <v>CH</v>
      </c>
      <c r="D943" t="s">
        <v>987</v>
      </c>
      <c r="E943" t="s">
        <v>8</v>
      </c>
      <c r="F943" s="1">
        <f>F944</f>
        <v>6.1735480802587341</v>
      </c>
      <c r="G943" s="1">
        <f t="shared" ref="G943:K943" si="651">G944</f>
        <v>6.9002066416090226</v>
      </c>
      <c r="H943" s="1">
        <f t="shared" si="651"/>
        <v>7.7368760494142306</v>
      </c>
      <c r="I943" s="1">
        <f t="shared" si="651"/>
        <v>7.5157047181423451</v>
      </c>
      <c r="J943" s="1">
        <f t="shared" si="651"/>
        <v>5.8117380821128979</v>
      </c>
      <c r="K943" s="1">
        <f t="shared" si="651"/>
        <v>3.8957572567190728</v>
      </c>
    </row>
    <row r="944" spans="2:11" x14ac:dyDescent="0.35">
      <c r="B944" s="5" t="str">
        <f t="shared" si="644"/>
        <v>SPS1</v>
      </c>
      <c r="C944" s="5" t="str">
        <f t="shared" si="645"/>
        <v>CH</v>
      </c>
      <c r="D944" t="s">
        <v>988</v>
      </c>
      <c r="E944" t="s">
        <v>8</v>
      </c>
      <c r="F944" s="1">
        <f>[1]Services!B$53</f>
        <v>6.1735480802587341</v>
      </c>
      <c r="G944" s="1">
        <f>[1]Services!C$53</f>
        <v>6.9002066416090226</v>
      </c>
      <c r="H944" s="1">
        <f>[1]Services!D$53</f>
        <v>7.7368760494142306</v>
      </c>
      <c r="I944" s="1">
        <f>[1]Services!E$53</f>
        <v>7.5157047181423451</v>
      </c>
      <c r="J944" s="1">
        <f>[1]Services!F$53</f>
        <v>5.8117380821128979</v>
      </c>
      <c r="K944" s="1">
        <f>[1]Services!G$53</f>
        <v>3.8957572567190728</v>
      </c>
    </row>
    <row r="945" spans="2:11" x14ac:dyDescent="0.35">
      <c r="B945" s="5" t="str">
        <f t="shared" si="644"/>
        <v>SPS1</v>
      </c>
      <c r="C945" s="5" t="str">
        <f t="shared" si="645"/>
        <v>CH</v>
      </c>
      <c r="D945" t="s">
        <v>989</v>
      </c>
      <c r="E945" t="s">
        <v>8</v>
      </c>
      <c r="F945" s="1">
        <f>F946</f>
        <v>1.8770746508097225</v>
      </c>
      <c r="G945" s="1">
        <f t="shared" ref="G945:K945" si="652">G946</f>
        <v>2.1600853174743446</v>
      </c>
      <c r="H945" s="1">
        <f t="shared" si="652"/>
        <v>0.66060284054977481</v>
      </c>
      <c r="I945" s="1">
        <f t="shared" si="652"/>
        <v>0.82372186696448746</v>
      </c>
      <c r="J945" s="1">
        <f t="shared" si="652"/>
        <v>0.98996931582995118</v>
      </c>
      <c r="K945" s="1">
        <f t="shared" si="652"/>
        <v>0.83171134768675448</v>
      </c>
    </row>
    <row r="946" spans="2:11" x14ac:dyDescent="0.35">
      <c r="B946" s="5" t="str">
        <f t="shared" si="644"/>
        <v>SPS1</v>
      </c>
      <c r="C946" s="5" t="str">
        <f t="shared" si="645"/>
        <v>CH</v>
      </c>
      <c r="D946" t="s">
        <v>990</v>
      </c>
      <c r="E946" t="s">
        <v>8</v>
      </c>
      <c r="F946" s="1">
        <f>[1]Services!B$54</f>
        <v>1.8770746508097225</v>
      </c>
      <c r="G946" s="1">
        <f>[1]Services!C$54</f>
        <v>2.1600853174743446</v>
      </c>
      <c r="H946" s="1">
        <f>[1]Services!D$54</f>
        <v>0.66060284054977481</v>
      </c>
      <c r="I946" s="1">
        <f>[1]Services!E$54</f>
        <v>0.82372186696448746</v>
      </c>
      <c r="J946" s="1">
        <f>[1]Services!F$54</f>
        <v>0.98996931582995118</v>
      </c>
      <c r="K946" s="1">
        <f>[1]Services!G$54</f>
        <v>0.83171134768675448</v>
      </c>
    </row>
    <row r="947" spans="2:11" x14ac:dyDescent="0.35">
      <c r="B947" s="5" t="str">
        <f t="shared" si="644"/>
        <v>SPS1</v>
      </c>
      <c r="C947" s="5" t="str">
        <f t="shared" si="645"/>
        <v>CH</v>
      </c>
      <c r="D947" t="s">
        <v>991</v>
      </c>
      <c r="E947" t="s">
        <v>8</v>
      </c>
      <c r="F947" s="1">
        <f>F948</f>
        <v>0.62700236351243477</v>
      </c>
      <c r="G947" s="1">
        <f t="shared" ref="G947:K947" si="653">G948</f>
        <v>0.68734756457837476</v>
      </c>
      <c r="H947" s="1">
        <f t="shared" si="653"/>
        <v>0.56684195491036959</v>
      </c>
      <c r="I947" s="1">
        <f t="shared" si="653"/>
        <v>0.77162206781883058</v>
      </c>
      <c r="J947" s="1">
        <f t="shared" si="653"/>
        <v>1.1384095173270821</v>
      </c>
      <c r="K947" s="1">
        <f t="shared" si="653"/>
        <v>1.3103178614295308</v>
      </c>
    </row>
    <row r="948" spans="2:11" x14ac:dyDescent="0.35">
      <c r="B948" s="5" t="str">
        <f t="shared" si="644"/>
        <v>SPS1</v>
      </c>
      <c r="C948" s="5" t="str">
        <f t="shared" si="645"/>
        <v>CH</v>
      </c>
      <c r="D948" t="s">
        <v>992</v>
      </c>
      <c r="E948" t="s">
        <v>8</v>
      </c>
      <c r="F948" s="1">
        <f>[1]Services!B$55</f>
        <v>0.62700236351243477</v>
      </c>
      <c r="G948" s="1">
        <f>[1]Services!C$55</f>
        <v>0.68734756457837476</v>
      </c>
      <c r="H948" s="1">
        <f>[1]Services!D$55</f>
        <v>0.56684195491036959</v>
      </c>
      <c r="I948" s="1">
        <f>[1]Services!E$55</f>
        <v>0.77162206781883058</v>
      </c>
      <c r="J948" s="1">
        <f>[1]Services!F$55</f>
        <v>1.1384095173270821</v>
      </c>
      <c r="K948" s="1">
        <f>[1]Services!G$55</f>
        <v>1.3103178614295308</v>
      </c>
    </row>
    <row r="949" spans="2:11" x14ac:dyDescent="0.35">
      <c r="B949" s="5" t="str">
        <f t="shared" si="644"/>
        <v>SPS1</v>
      </c>
      <c r="C949" s="5" t="str">
        <f t="shared" si="645"/>
        <v>CH</v>
      </c>
      <c r="D949" t="s">
        <v>993</v>
      </c>
      <c r="E949" t="s">
        <v>8</v>
      </c>
      <c r="F949" s="1">
        <f>F950</f>
        <v>0</v>
      </c>
      <c r="G949" s="1">
        <f t="shared" ref="G949:K949" si="654">G950</f>
        <v>0</v>
      </c>
      <c r="H949" s="1">
        <f t="shared" si="654"/>
        <v>0</v>
      </c>
      <c r="I949" s="1">
        <f t="shared" si="654"/>
        <v>0</v>
      </c>
      <c r="J949" s="1">
        <f t="shared" si="654"/>
        <v>0</v>
      </c>
      <c r="K949" s="1">
        <f t="shared" si="654"/>
        <v>0</v>
      </c>
    </row>
    <row r="950" spans="2:11" x14ac:dyDescent="0.35">
      <c r="B950" s="5" t="str">
        <f t="shared" si="644"/>
        <v>SPS1</v>
      </c>
      <c r="C950" s="5" t="str">
        <f t="shared" si="645"/>
        <v>CH</v>
      </c>
      <c r="D950" t="s">
        <v>994</v>
      </c>
      <c r="E950" t="s">
        <v>8</v>
      </c>
      <c r="F950" s="1">
        <f>[1]Services!B$57</f>
        <v>0</v>
      </c>
      <c r="G950" s="1">
        <f>[1]Services!C$57</f>
        <v>0</v>
      </c>
      <c r="H950" s="1">
        <f>[1]Services!D$57</f>
        <v>0</v>
      </c>
      <c r="I950" s="1">
        <f>[1]Services!E$57</f>
        <v>0</v>
      </c>
      <c r="J950" s="1">
        <f>[1]Services!F$57</f>
        <v>0</v>
      </c>
      <c r="K950" s="1">
        <f>[1]Services!G$57</f>
        <v>0</v>
      </c>
    </row>
    <row r="951" spans="2:11" x14ac:dyDescent="0.35">
      <c r="B951" s="5" t="str">
        <f t="shared" si="644"/>
        <v>SPS1</v>
      </c>
      <c r="C951" s="5" t="str">
        <f t="shared" si="645"/>
        <v>CH</v>
      </c>
      <c r="D951" t="s">
        <v>995</v>
      </c>
      <c r="E951" t="s">
        <v>8</v>
      </c>
      <c r="F951" s="1">
        <f>[1]Services!B$58</f>
        <v>0</v>
      </c>
      <c r="G951" s="1">
        <f>[1]Services!C$58</f>
        <v>6.9645363509229341</v>
      </c>
      <c r="H951" s="1">
        <f>[1]Services!D$58</f>
        <v>2.315427277358832</v>
      </c>
      <c r="I951" s="1">
        <f>[1]Services!E$58</f>
        <v>4.5920912816719683</v>
      </c>
      <c r="J951" s="1">
        <f>[1]Services!F$58</f>
        <v>8.9354937173706315</v>
      </c>
      <c r="K951" s="1">
        <f>[1]Services!G$58</f>
        <v>12.985094553701751</v>
      </c>
    </row>
    <row r="952" spans="2:11" x14ac:dyDescent="0.35">
      <c r="B952" s="5" t="str">
        <f>B951</f>
        <v>SPS1</v>
      </c>
      <c r="C952" s="5" t="str">
        <f>C951</f>
        <v>CH</v>
      </c>
      <c r="D952" s="2" t="s">
        <v>689</v>
      </c>
      <c r="E952" s="2" t="s">
        <v>240</v>
      </c>
      <c r="F952" s="1" t="s">
        <v>292</v>
      </c>
      <c r="G952" s="1" t="s">
        <v>292</v>
      </c>
      <c r="H952" s="1" t="s">
        <v>292</v>
      </c>
      <c r="I952" s="1" t="s">
        <v>292</v>
      </c>
      <c r="J952" s="1" t="s">
        <v>292</v>
      </c>
      <c r="K952" s="1" t="s">
        <v>292</v>
      </c>
    </row>
    <row r="953" spans="2:11" x14ac:dyDescent="0.35">
      <c r="B953" s="5" t="str">
        <f t="shared" ref="B953:B969" si="655">B952</f>
        <v>SPS1</v>
      </c>
      <c r="C953" s="5" t="str">
        <f t="shared" ref="C953:C969" si="656">C952</f>
        <v>CH</v>
      </c>
      <c r="D953" t="s">
        <v>761</v>
      </c>
      <c r="E953" t="s">
        <v>240</v>
      </c>
      <c r="F953" s="4">
        <f t="shared" ref="F953:K955" si="657">IFERROR(F926/F882,"-")</f>
        <v>0.91249999999999976</v>
      </c>
      <c r="G953" s="4">
        <f t="shared" si="657"/>
        <v>0.91500000000000059</v>
      </c>
      <c r="H953" s="4">
        <f t="shared" si="657"/>
        <v>0.47360698950047764</v>
      </c>
      <c r="I953" s="4">
        <f t="shared" si="657"/>
        <v>0.49393573307776645</v>
      </c>
      <c r="J953" s="4">
        <f t="shared" si="657"/>
        <v>0.51057318062619328</v>
      </c>
      <c r="K953" s="4">
        <f t="shared" si="657"/>
        <v>0.53583836146368113</v>
      </c>
    </row>
    <row r="954" spans="2:11" x14ac:dyDescent="0.35">
      <c r="B954" s="5" t="str">
        <f t="shared" si="655"/>
        <v>SPS1</v>
      </c>
      <c r="C954" s="5" t="str">
        <f t="shared" si="656"/>
        <v>CH</v>
      </c>
      <c r="D954" t="s">
        <v>730</v>
      </c>
      <c r="E954" t="s">
        <v>240</v>
      </c>
      <c r="F954" s="4">
        <f t="shared" si="657"/>
        <v>3.2000000000000011</v>
      </c>
      <c r="G954" s="4">
        <f t="shared" si="657"/>
        <v>3.240000000000002</v>
      </c>
      <c r="H954" s="4">
        <f t="shared" si="657"/>
        <v>2.8549028250630535</v>
      </c>
      <c r="I954" s="4">
        <f t="shared" si="657"/>
        <v>3.3335037245983008</v>
      </c>
      <c r="J954" s="4">
        <f t="shared" si="657"/>
        <v>3.6801448838949309</v>
      </c>
      <c r="K954" s="4">
        <f t="shared" si="657"/>
        <v>3.9120052970714729</v>
      </c>
    </row>
    <row r="955" spans="2:11" x14ac:dyDescent="0.35">
      <c r="B955" s="5" t="str">
        <f t="shared" si="655"/>
        <v>SPS1</v>
      </c>
      <c r="C955" s="5" t="str">
        <f t="shared" si="656"/>
        <v>CH</v>
      </c>
      <c r="D955" t="s">
        <v>699</v>
      </c>
      <c r="E955" t="s">
        <v>240</v>
      </c>
      <c r="F955" s="4">
        <f t="shared" si="657"/>
        <v>1.0000000000000002</v>
      </c>
      <c r="G955" s="4">
        <f t="shared" si="657"/>
        <v>0.99999999999999989</v>
      </c>
      <c r="H955" s="4">
        <f t="shared" si="657"/>
        <v>1.0000000000000002</v>
      </c>
      <c r="I955" s="4">
        <f t="shared" si="657"/>
        <v>0.99999999999999989</v>
      </c>
      <c r="J955" s="4">
        <f t="shared" si="657"/>
        <v>1</v>
      </c>
      <c r="K955" s="4">
        <f t="shared" si="657"/>
        <v>1.0000000000000002</v>
      </c>
    </row>
    <row r="956" spans="2:11" x14ac:dyDescent="0.35">
      <c r="B956" s="5" t="str">
        <f t="shared" si="655"/>
        <v>SPS1</v>
      </c>
      <c r="C956" s="5" t="str">
        <f t="shared" si="656"/>
        <v>CH</v>
      </c>
      <c r="D956" t="s">
        <v>700</v>
      </c>
      <c r="E956" t="s">
        <v>240</v>
      </c>
      <c r="F956" s="4">
        <f t="shared" ref="F956:K956" si="658">IFERROR(F930/F886,"-")</f>
        <v>0.82107843137254788</v>
      </c>
      <c r="G956" s="4">
        <f t="shared" si="658"/>
        <v>0.82270432925645465</v>
      </c>
      <c r="H956" s="4">
        <f t="shared" si="658"/>
        <v>0.78810699107351845</v>
      </c>
      <c r="I956" s="4">
        <f t="shared" si="658"/>
        <v>0.81701502116022173</v>
      </c>
      <c r="J956" s="4">
        <f t="shared" si="658"/>
        <v>0.81701502116022184</v>
      </c>
      <c r="K956" s="4">
        <f t="shared" si="658"/>
        <v>0.8345619579986685</v>
      </c>
    </row>
    <row r="957" spans="2:11" x14ac:dyDescent="0.35">
      <c r="B957" s="5" t="str">
        <f t="shared" si="655"/>
        <v>SPS1</v>
      </c>
      <c r="C957" s="5" t="str">
        <f t="shared" si="656"/>
        <v>CH</v>
      </c>
      <c r="D957" t="s">
        <v>701</v>
      </c>
      <c r="E957" t="s">
        <v>240</v>
      </c>
      <c r="F957" s="4">
        <f t="shared" ref="F957:K959" si="659">IFERROR(F932/F893,"-")</f>
        <v>0.94680851063829852</v>
      </c>
      <c r="G957" s="4">
        <f t="shared" si="659"/>
        <v>0.94680851063829941</v>
      </c>
      <c r="H957" s="4">
        <f t="shared" si="659"/>
        <v>0.81740937167507266</v>
      </c>
      <c r="I957" s="4">
        <f t="shared" si="659"/>
        <v>0.78348194318744935</v>
      </c>
      <c r="J957" s="4">
        <f t="shared" si="659"/>
        <v>0.53871446431311565</v>
      </c>
      <c r="K957" s="4">
        <f t="shared" si="659"/>
        <v>0.30793973576640465</v>
      </c>
    </row>
    <row r="958" spans="2:11" x14ac:dyDescent="0.35">
      <c r="B958" s="5" t="str">
        <f t="shared" si="655"/>
        <v>SPS1</v>
      </c>
      <c r="C958" s="5" t="str">
        <f t="shared" si="656"/>
        <v>CH</v>
      </c>
      <c r="D958" t="s">
        <v>731</v>
      </c>
      <c r="E958" t="s">
        <v>240</v>
      </c>
      <c r="F958" s="4" t="str">
        <f t="shared" si="659"/>
        <v>-</v>
      </c>
      <c r="G958" s="4" t="str">
        <f t="shared" si="659"/>
        <v>-</v>
      </c>
      <c r="H958" s="4">
        <f t="shared" si="659"/>
        <v>1.9293577214914694</v>
      </c>
      <c r="I958" s="4">
        <f t="shared" si="659"/>
        <v>2.0360828189166673</v>
      </c>
      <c r="J958" s="4">
        <f t="shared" si="659"/>
        <v>2.1938090565451995</v>
      </c>
      <c r="K958" s="4">
        <f t="shared" si="659"/>
        <v>2.3942393935660906</v>
      </c>
    </row>
    <row r="959" spans="2:11" x14ac:dyDescent="0.35">
      <c r="B959" s="5" t="str">
        <f t="shared" si="655"/>
        <v>SPS1</v>
      </c>
      <c r="C959" s="5" t="str">
        <f t="shared" si="656"/>
        <v>CH</v>
      </c>
      <c r="D959" t="s">
        <v>702</v>
      </c>
      <c r="E959" t="s">
        <v>240</v>
      </c>
      <c r="F959" s="4">
        <f t="shared" si="659"/>
        <v>0.87219999999999975</v>
      </c>
      <c r="G959" s="4">
        <f t="shared" si="659"/>
        <v>0.87219999999999986</v>
      </c>
      <c r="H959" s="4" t="str">
        <f t="shared" si="659"/>
        <v>-</v>
      </c>
      <c r="I959" s="4" t="str">
        <f t="shared" si="659"/>
        <v>-</v>
      </c>
      <c r="J959" s="4" t="str">
        <f t="shared" si="659"/>
        <v>-</v>
      </c>
      <c r="K959" s="4" t="str">
        <f t="shared" si="659"/>
        <v>-</v>
      </c>
    </row>
    <row r="960" spans="2:11" x14ac:dyDescent="0.35">
      <c r="B960" s="5" t="str">
        <f>B959</f>
        <v>SPS1</v>
      </c>
      <c r="C960" s="5" t="str">
        <f>C959</f>
        <v>CH</v>
      </c>
      <c r="D960" t="s">
        <v>703</v>
      </c>
      <c r="E960" t="s">
        <v>240</v>
      </c>
      <c r="F960" s="4">
        <f t="shared" ref="F960:K965" si="660">IFERROR(F937/F905,"-")</f>
        <v>0.99</v>
      </c>
      <c r="G960" s="4">
        <f t="shared" si="660"/>
        <v>0.9900000000000001</v>
      </c>
      <c r="H960" s="4">
        <f t="shared" si="660"/>
        <v>0</v>
      </c>
      <c r="I960" s="4">
        <f t="shared" si="660"/>
        <v>0</v>
      </c>
      <c r="J960" s="4">
        <f t="shared" si="660"/>
        <v>0</v>
      </c>
      <c r="K960" s="4">
        <f t="shared" si="660"/>
        <v>0</v>
      </c>
    </row>
    <row r="961" spans="2:11" x14ac:dyDescent="0.35">
      <c r="B961" s="5" t="str">
        <f t="shared" si="655"/>
        <v>SPS1</v>
      </c>
      <c r="C961" s="5" t="str">
        <f t="shared" si="656"/>
        <v>CH</v>
      </c>
      <c r="D961" t="s">
        <v>704</v>
      </c>
      <c r="E961" t="s">
        <v>240</v>
      </c>
      <c r="F961" s="4">
        <f t="shared" si="660"/>
        <v>0.9900000000000001</v>
      </c>
      <c r="G961" s="4">
        <f t="shared" si="660"/>
        <v>0.99</v>
      </c>
      <c r="H961" s="4">
        <f t="shared" si="660"/>
        <v>0</v>
      </c>
      <c r="I961" s="4">
        <f t="shared" si="660"/>
        <v>0</v>
      </c>
      <c r="J961" s="4">
        <f t="shared" si="660"/>
        <v>0</v>
      </c>
      <c r="K961" s="4" t="str">
        <f t="shared" si="660"/>
        <v>-</v>
      </c>
    </row>
    <row r="962" spans="2:11" x14ac:dyDescent="0.35">
      <c r="B962" s="5" t="str">
        <f t="shared" si="655"/>
        <v>SPS1</v>
      </c>
      <c r="C962" s="5" t="str">
        <f t="shared" si="656"/>
        <v>CH</v>
      </c>
      <c r="D962" t="s">
        <v>705</v>
      </c>
      <c r="E962" t="s">
        <v>240</v>
      </c>
      <c r="F962" s="4" t="str">
        <f t="shared" si="660"/>
        <v>-</v>
      </c>
      <c r="G962" s="4" t="str">
        <f t="shared" si="660"/>
        <v>-</v>
      </c>
      <c r="H962" s="4" t="str">
        <f t="shared" si="660"/>
        <v>-</v>
      </c>
      <c r="I962" s="4" t="str">
        <f t="shared" si="660"/>
        <v>-</v>
      </c>
      <c r="J962" s="4" t="str">
        <f t="shared" si="660"/>
        <v>-</v>
      </c>
      <c r="K962" s="4" t="str">
        <f t="shared" si="660"/>
        <v>-</v>
      </c>
    </row>
    <row r="963" spans="2:11" x14ac:dyDescent="0.35">
      <c r="B963" s="5" t="str">
        <f t="shared" si="655"/>
        <v>SPS1</v>
      </c>
      <c r="C963" s="5" t="str">
        <f t="shared" si="656"/>
        <v>CH</v>
      </c>
      <c r="D963" t="s">
        <v>706</v>
      </c>
      <c r="E963" t="s">
        <v>240</v>
      </c>
      <c r="F963" s="4" t="str">
        <f t="shared" si="660"/>
        <v>-</v>
      </c>
      <c r="G963" s="4" t="str">
        <f t="shared" si="660"/>
        <v>-</v>
      </c>
      <c r="H963" s="4" t="str">
        <f t="shared" si="660"/>
        <v>-</v>
      </c>
      <c r="I963" s="4">
        <f t="shared" si="660"/>
        <v>0</v>
      </c>
      <c r="J963" s="4">
        <f t="shared" si="660"/>
        <v>0</v>
      </c>
      <c r="K963" s="4">
        <f t="shared" si="660"/>
        <v>0</v>
      </c>
    </row>
    <row r="964" spans="2:11" x14ac:dyDescent="0.35">
      <c r="B964" s="5" t="str">
        <f t="shared" si="655"/>
        <v>SPS1</v>
      </c>
      <c r="C964" s="5" t="str">
        <f t="shared" si="656"/>
        <v>CH</v>
      </c>
      <c r="D964" t="s">
        <v>707</v>
      </c>
      <c r="E964" t="s">
        <v>240</v>
      </c>
      <c r="F964" s="4" t="str">
        <f t="shared" si="660"/>
        <v>-</v>
      </c>
      <c r="G964" s="4" t="str">
        <f t="shared" si="660"/>
        <v>-</v>
      </c>
      <c r="H964" s="4" t="str">
        <f t="shared" si="660"/>
        <v>-</v>
      </c>
      <c r="I964" s="4">
        <f t="shared" si="660"/>
        <v>0</v>
      </c>
      <c r="J964" s="4">
        <f t="shared" si="660"/>
        <v>0</v>
      </c>
      <c r="K964" s="4">
        <f t="shared" si="660"/>
        <v>0</v>
      </c>
    </row>
    <row r="965" spans="2:11" x14ac:dyDescent="0.35">
      <c r="B965" s="5" t="str">
        <f t="shared" si="655"/>
        <v>SPS1</v>
      </c>
      <c r="C965" s="5" t="str">
        <f t="shared" si="656"/>
        <v>CH</v>
      </c>
      <c r="D965" t="s">
        <v>996</v>
      </c>
      <c r="E965" t="s">
        <v>240</v>
      </c>
      <c r="F965" s="4">
        <f t="shared" si="660"/>
        <v>0.99000000000000055</v>
      </c>
      <c r="G965" s="4">
        <f t="shared" si="660"/>
        <v>0.98999999999999955</v>
      </c>
      <c r="H965" s="4">
        <f t="shared" si="660"/>
        <v>0.82015173915054107</v>
      </c>
      <c r="I965" s="4">
        <f t="shared" si="660"/>
        <v>0.82369879763606091</v>
      </c>
      <c r="J965" s="4">
        <f t="shared" si="660"/>
        <v>0.82369879763606157</v>
      </c>
      <c r="K965" s="4">
        <f t="shared" si="660"/>
        <v>0.82369879763606035</v>
      </c>
    </row>
    <row r="966" spans="2:11" x14ac:dyDescent="0.35">
      <c r="B966" s="5" t="str">
        <f t="shared" si="655"/>
        <v>SPS1</v>
      </c>
      <c r="C966" s="5" t="str">
        <f t="shared" si="656"/>
        <v>CH</v>
      </c>
      <c r="D966" t="s">
        <v>997</v>
      </c>
      <c r="E966" t="s">
        <v>240</v>
      </c>
      <c r="F966" s="4">
        <f t="shared" ref="F966:K966" si="661">IFERROR(F944/F911,"-")</f>
        <v>0.7200000000000002</v>
      </c>
      <c r="G966" s="4">
        <f t="shared" si="661"/>
        <v>0.71999999999999975</v>
      </c>
      <c r="H966" s="4">
        <f t="shared" si="661"/>
        <v>0.6758382040817219</v>
      </c>
      <c r="I966" s="4">
        <f t="shared" si="661"/>
        <v>0.67654315258974662</v>
      </c>
      <c r="J966" s="4">
        <f t="shared" si="661"/>
        <v>0.68097606085717166</v>
      </c>
      <c r="K966" s="4">
        <f t="shared" si="661"/>
        <v>0.6978607965987248</v>
      </c>
    </row>
    <row r="967" spans="2:11" x14ac:dyDescent="0.35">
      <c r="B967" s="5" t="str">
        <f t="shared" si="655"/>
        <v>SPS1</v>
      </c>
      <c r="C967" s="5" t="str">
        <f t="shared" si="656"/>
        <v>CH</v>
      </c>
      <c r="D967" t="s">
        <v>998</v>
      </c>
      <c r="E967" t="s">
        <v>240</v>
      </c>
      <c r="F967" s="4">
        <f t="shared" ref="F967:K967" si="662">IFERROR(F946/F914,"-")</f>
        <v>0.90000000000000013</v>
      </c>
      <c r="G967" s="4">
        <f t="shared" si="662"/>
        <v>0.9</v>
      </c>
      <c r="H967" s="4">
        <f t="shared" si="662"/>
        <v>0.66543558387004387</v>
      </c>
      <c r="I967" s="4">
        <f t="shared" si="662"/>
        <v>0.67043736038510504</v>
      </c>
      <c r="J967" s="4">
        <f t="shared" si="662"/>
        <v>0.67335554596078107</v>
      </c>
      <c r="K967" s="4">
        <f t="shared" si="662"/>
        <v>0.67335554596078129</v>
      </c>
    </row>
    <row r="968" spans="2:11" x14ac:dyDescent="0.35">
      <c r="B968" s="5" t="str">
        <f t="shared" si="655"/>
        <v>SPS1</v>
      </c>
      <c r="C968" s="5" t="str">
        <f t="shared" si="656"/>
        <v>CH</v>
      </c>
      <c r="D968" t="s">
        <v>999</v>
      </c>
      <c r="E968" t="s">
        <v>240</v>
      </c>
      <c r="F968" s="4">
        <f t="shared" ref="F968:K968" si="663">IFERROR(F948/F916,"-")</f>
        <v>1</v>
      </c>
      <c r="G968" s="4">
        <f t="shared" si="663"/>
        <v>1</v>
      </c>
      <c r="H968" s="4">
        <f t="shared" si="663"/>
        <v>1</v>
      </c>
      <c r="I968" s="4">
        <f t="shared" si="663"/>
        <v>1</v>
      </c>
      <c r="J968" s="4">
        <f t="shared" si="663"/>
        <v>1</v>
      </c>
      <c r="K968" s="4">
        <f t="shared" si="663"/>
        <v>1</v>
      </c>
    </row>
    <row r="969" spans="2:11" x14ac:dyDescent="0.35">
      <c r="B969" s="5" t="str">
        <f t="shared" si="655"/>
        <v>SPS1</v>
      </c>
      <c r="C969" s="5" t="str">
        <f t="shared" si="656"/>
        <v>CH</v>
      </c>
      <c r="D969" t="s">
        <v>1000</v>
      </c>
      <c r="E969" t="s">
        <v>240</v>
      </c>
      <c r="F969" s="4" t="str">
        <f t="shared" ref="F969:K969" si="664">IFERROR(F950/F920,"-")</f>
        <v>-</v>
      </c>
      <c r="G969" s="4" t="str">
        <f t="shared" si="664"/>
        <v>-</v>
      </c>
      <c r="H969" s="4" t="str">
        <f t="shared" si="664"/>
        <v>-</v>
      </c>
      <c r="I969" s="4">
        <f t="shared" si="664"/>
        <v>0</v>
      </c>
      <c r="J969" s="4">
        <f t="shared" si="664"/>
        <v>0</v>
      </c>
      <c r="K969" s="4">
        <f t="shared" si="664"/>
        <v>0</v>
      </c>
    </row>
    <row r="970" spans="2:11" x14ac:dyDescent="0.35">
      <c r="B970" s="9" t="str">
        <f>B922</f>
        <v>SPS1</v>
      </c>
      <c r="C970" s="9" t="str">
        <f>C922</f>
        <v>CH</v>
      </c>
      <c r="D970" s="2" t="s">
        <v>740</v>
      </c>
      <c r="E970" s="9" t="s">
        <v>8</v>
      </c>
      <c r="F970" s="3">
        <f>[1]Residential!B$26</f>
        <v>219.90806424818021</v>
      </c>
      <c r="G970" s="3">
        <f>[1]Residential!C$26</f>
        <v>217.39761753447416</v>
      </c>
      <c r="H970" s="3">
        <f>[1]Residential!D$26</f>
        <v>219.99217418040612</v>
      </c>
      <c r="I970" s="3">
        <f>[1]Residential!E$26</f>
        <v>200.59312164798149</v>
      </c>
      <c r="J970" s="3">
        <f>[1]Residential!F$26</f>
        <v>182.26297878617163</v>
      </c>
      <c r="K970" s="3">
        <f>[1]Residential!G$26</f>
        <v>165.75317237741803</v>
      </c>
    </row>
    <row r="971" spans="2:11" x14ac:dyDescent="0.35">
      <c r="B971" s="5" t="str">
        <f>B970</f>
        <v>SPS1</v>
      </c>
      <c r="C971" s="5" t="str">
        <f>C970</f>
        <v>CH</v>
      </c>
      <c r="D971" t="s">
        <v>1001</v>
      </c>
      <c r="E971" t="s">
        <v>8</v>
      </c>
      <c r="F971" s="1">
        <f>[1]Residential!B$15</f>
        <v>69.470104424746438</v>
      </c>
      <c r="G971" s="1">
        <f>[1]Residential!C$15</f>
        <v>70.008824003363074</v>
      </c>
      <c r="H971" s="1">
        <f>[1]Residential!D$15</f>
        <v>70.198686280609877</v>
      </c>
      <c r="I971" s="1">
        <f>[1]Residential!E$15</f>
        <v>70.922860301180435</v>
      </c>
      <c r="J971" s="1">
        <f>[1]Residential!F$15</f>
        <v>72.220685631712882</v>
      </c>
      <c r="K971" s="1">
        <f>[1]Residential!G$15</f>
        <v>66.854128401401582</v>
      </c>
    </row>
    <row r="972" spans="2:11" x14ac:dyDescent="0.35">
      <c r="B972" s="5" t="str">
        <f>B971</f>
        <v>SPS1</v>
      </c>
      <c r="C972" s="5" t="str">
        <f>C971</f>
        <v>CH</v>
      </c>
      <c r="D972" t="s">
        <v>1002</v>
      </c>
      <c r="E972" t="s">
        <v>8</v>
      </c>
      <c r="F972" s="1">
        <f>SUM(F973:F974)</f>
        <v>15.333255403324207</v>
      </c>
      <c r="G972" s="1">
        <f t="shared" ref="G972:K972" si="665">SUM(G973:G974)</f>
        <v>15.062322740499617</v>
      </c>
      <c r="H972" s="1">
        <f t="shared" si="665"/>
        <v>11.943983459798117</v>
      </c>
      <c r="I972" s="1">
        <f t="shared" si="665"/>
        <v>15.647642116637487</v>
      </c>
      <c r="J972" s="1">
        <f t="shared" si="665"/>
        <v>18.281559402494601</v>
      </c>
      <c r="K972" s="1">
        <f t="shared" si="665"/>
        <v>16.541792934272234</v>
      </c>
    </row>
    <row r="973" spans="2:11" x14ac:dyDescent="0.35">
      <c r="B973" s="5" t="str">
        <f>B972</f>
        <v>SPS1</v>
      </c>
      <c r="C973" s="5" t="str">
        <f t="shared" ref="C973" si="666">C972</f>
        <v>CH</v>
      </c>
      <c r="D973" t="s">
        <v>762</v>
      </c>
      <c r="E973" t="s">
        <v>8</v>
      </c>
      <c r="F973" s="1" cm="1">
        <f t="array" ref="F973">SUMPRODUCT(([1]OUT_FinalEnergyCons!$B$4:$B$10000="Var_Fin")*1,ISNUMBER(SEARCH("R*_ELC",[1]OUT_FinalEnergyCons!$C$4:$C$10000))*1, (ISNUMBER(SEARCH("RH*-SHELCBR",[1]OUT_FinalEnergyCons!$A$4:$A$10000)))*1,[1]OUT_FinalEnergyCons!D$4:D$10000)</f>
        <v>9.3768878767849699</v>
      </c>
      <c r="G973" s="1" cm="1">
        <f t="array" ref="G973">SUMPRODUCT(([1]OUT_FinalEnergyCons!$B$4:$B$10000="Var_Fin")*1,ISNUMBER(SEARCH("R*_ELC",[1]OUT_FinalEnergyCons!$C$4:$C$10000))*1, (ISNUMBER(SEARCH("RH*-SHELCBR",[1]OUT_FinalEnergyCons!$A$4:$A$10000)))*1,[1]OUT_FinalEnergyCons!E$4:E$10000)</f>
        <v>8.2783759337974221</v>
      </c>
      <c r="H973" s="1" cm="1">
        <f t="array" ref="H973">SUMPRODUCT(([1]OUT_FinalEnergyCons!$B$4:$B$10000="Var_Fin")*1,ISNUMBER(SEARCH("R*_ELC",[1]OUT_FinalEnergyCons!$C$4:$C$10000))*1, (ISNUMBER(SEARCH("RH*-SHELCBR",[1]OUT_FinalEnergyCons!$A$4:$A$10000)))*1,[1]OUT_FinalEnergyCons!F$4:F$10000)</f>
        <v>0.89537601892902152</v>
      </c>
      <c r="I973" s="1" cm="1">
        <f t="array" ref="I973">SUMPRODUCT(([1]OUT_FinalEnergyCons!$B$4:$B$10000="Var_Fin")*1,ISNUMBER(SEARCH("R*_ELC",[1]OUT_FinalEnergyCons!$C$4:$C$10000))*1, (ISNUMBER(SEARCH("RH*-SHELCBR",[1]OUT_FinalEnergyCons!$A$4:$A$10000)))*1,[1]OUT_FinalEnergyCons!G$4:G$10000)</f>
        <v>0.22223785541172539</v>
      </c>
      <c r="J973" s="1" cm="1">
        <f t="array" ref="J973">SUMPRODUCT(([1]OUT_FinalEnergyCons!$B$4:$B$10000="Var_Fin")*1,ISNUMBER(SEARCH("R*_ELC",[1]OUT_FinalEnergyCons!$C$4:$C$10000))*1, (ISNUMBER(SEARCH("RH*-SHELCBR",[1]OUT_FinalEnergyCons!$A$4:$A$10000)))*1,[1]OUT_FinalEnergyCons!H$4:H$10000)</f>
        <v>1.6108743158888345E-2</v>
      </c>
      <c r="K973" s="1" cm="1">
        <f t="array" ref="K973">SUMPRODUCT(([1]OUT_FinalEnergyCons!$B$4:$B$10000="Var_Fin")*1,ISNUMBER(SEARCH("R*_ELC",[1]OUT_FinalEnergyCons!$C$4:$C$10000))*1, (ISNUMBER(SEARCH("RH*-SHELCBR",[1]OUT_FinalEnergyCons!$A$4:$A$10000)))*1,[1]OUT_FinalEnergyCons!I$4:I$10000)</f>
        <v>1.2278438844558526E-2</v>
      </c>
    </row>
    <row r="974" spans="2:11" x14ac:dyDescent="0.35">
      <c r="B974" s="5" t="str">
        <f t="shared" ref="B974:B978" si="667">B973</f>
        <v>SPS1</v>
      </c>
      <c r="C974" s="5" t="str">
        <f t="shared" ref="C974:C978" si="668">C973</f>
        <v>CH</v>
      </c>
      <c r="D974" t="s">
        <v>732</v>
      </c>
      <c r="E974" t="s">
        <v>8</v>
      </c>
      <c r="F974" s="1" cm="1">
        <f t="array" ref="F974">SUMPRODUCT(([1]OUT_FinalEnergyCons!$B$4:$B$10000="Var_Fin")*1,ISNUMBER(SEARCH("R*_ELC",[1]OUT_FinalEnergyCons!$C$4:$C$10000))*1, (ISNUMBER(SEARCH("RH*-SHELCHP",[1]OUT_FinalEnergyCons!$A$4:$A$10000)))*1,[1]OUT_FinalEnergyCons!D$4:D$10000)</f>
        <v>5.9563675265392373</v>
      </c>
      <c r="G974" s="1" cm="1">
        <f t="array" ref="G974">SUMPRODUCT(([1]OUT_FinalEnergyCons!$B$4:$B$10000="Var_Fin")*1,ISNUMBER(SEARCH("R*_ELC",[1]OUT_FinalEnergyCons!$C$4:$C$10000))*1, (ISNUMBER(SEARCH("RH*-SHELCHP",[1]OUT_FinalEnergyCons!$A$4:$A$10000)))*1,[1]OUT_FinalEnergyCons!E$4:E$10000)</f>
        <v>6.7839468067021942</v>
      </c>
      <c r="H974" s="1" cm="1">
        <f t="array" ref="H974">SUMPRODUCT(([1]OUT_FinalEnergyCons!$B$4:$B$10000="Var_Fin")*1,ISNUMBER(SEARCH("R*_ELC",[1]OUT_FinalEnergyCons!$C$4:$C$10000))*1, (ISNUMBER(SEARCH("RH*-SHELCHP",[1]OUT_FinalEnergyCons!$A$4:$A$10000)))*1,[1]OUT_FinalEnergyCons!F$4:F$10000)</f>
        <v>11.048607440869096</v>
      </c>
      <c r="I974" s="1" cm="1">
        <f t="array" ref="I974">SUMPRODUCT(([1]OUT_FinalEnergyCons!$B$4:$B$10000="Var_Fin")*1,ISNUMBER(SEARCH("R*_ELC",[1]OUT_FinalEnergyCons!$C$4:$C$10000))*1, (ISNUMBER(SEARCH("RH*-SHELCHP",[1]OUT_FinalEnergyCons!$A$4:$A$10000)))*1,[1]OUT_FinalEnergyCons!G$4:G$10000)</f>
        <v>15.425404261225761</v>
      </c>
      <c r="J974" s="1" cm="1">
        <f t="array" ref="J974">SUMPRODUCT(([1]OUT_FinalEnergyCons!$B$4:$B$10000="Var_Fin")*1,ISNUMBER(SEARCH("R*_ELC",[1]OUT_FinalEnergyCons!$C$4:$C$10000))*1, (ISNUMBER(SEARCH("RH*-SHELCHP",[1]OUT_FinalEnergyCons!$A$4:$A$10000)))*1,[1]OUT_FinalEnergyCons!H$4:H$10000)</f>
        <v>18.265450659335713</v>
      </c>
      <c r="K974" s="1" cm="1">
        <f t="array" ref="K974">SUMPRODUCT(([1]OUT_FinalEnergyCons!$B$4:$B$10000="Var_Fin")*1,ISNUMBER(SEARCH("R*_ELC",[1]OUT_FinalEnergyCons!$C$4:$C$10000))*1, (ISNUMBER(SEARCH("RH*-SHELCHP",[1]OUT_FinalEnergyCons!$A$4:$A$10000)))*1,[1]OUT_FinalEnergyCons!I$4:I$10000)</f>
        <v>16.529514495427676</v>
      </c>
    </row>
    <row r="975" spans="2:11" x14ac:dyDescent="0.35">
      <c r="B975" s="5" t="str">
        <f t="shared" si="667"/>
        <v>SPS1</v>
      </c>
      <c r="C975" s="5" t="str">
        <f t="shared" si="668"/>
        <v>CH</v>
      </c>
      <c r="D975" t="s">
        <v>1003</v>
      </c>
      <c r="E975" t="s">
        <v>8</v>
      </c>
      <c r="F975" s="1">
        <f>SUM(F976:F977)</f>
        <v>9.5599416444841143</v>
      </c>
      <c r="G975" s="1">
        <f t="shared" ref="G975:K975" si="669">SUM(G976:G977)</f>
        <v>10.085317643458055</v>
      </c>
      <c r="H975" s="1">
        <f t="shared" si="669"/>
        <v>8.731682998465466</v>
      </c>
      <c r="I975" s="1">
        <f t="shared" si="669"/>
        <v>8.3573091159841688</v>
      </c>
      <c r="J975" s="1">
        <f t="shared" si="669"/>
        <v>9.5389756735111124</v>
      </c>
      <c r="K975" s="1">
        <f t="shared" si="669"/>
        <v>9.4958421937144877</v>
      </c>
    </row>
    <row r="976" spans="2:11" x14ac:dyDescent="0.35">
      <c r="B976" s="5" t="str">
        <f t="shared" si="667"/>
        <v>SPS1</v>
      </c>
      <c r="C976" s="5" t="str">
        <f t="shared" si="668"/>
        <v>CH</v>
      </c>
      <c r="D976" t="s">
        <v>763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(ISNUMBER(SEARCH("RH*-wHELCBR",[1]OUT_FinalEnergyCons!$A$4:$A$10000)))*1,[1]OUT_FinalEnergyCons!D$4:D$10000)</f>
        <v>8.4110355594550246</v>
      </c>
      <c r="G976" s="1" cm="1">
        <f t="array" ref="G976">SUMPRODUCT(([1]OUT_FinalEnergyCons!$B$4:$B$10000="Var_Fin")*1,ISNUMBER(SEARCH("R*_ELC",[1]OUT_FinalEnergyCons!$C$4:$C$10000))*1, (ISNUMBER(SEARCH("RH*-wHELCBR",[1]OUT_FinalEnergyCons!$A$4:$A$10000)))*1,[1]OUT_FinalEnergyCons!E$4:E$10000)</f>
        <v>8.79887962719706</v>
      </c>
      <c r="H976" s="1" cm="1">
        <f t="array" ref="H976">SUMPRODUCT(([1]OUT_FinalEnergyCons!$B$4:$B$10000="Var_Fin")*1,ISNUMBER(SEARCH("R*_ELC",[1]OUT_FinalEnergyCons!$C$4:$C$10000))*1, (ISNUMBER(SEARCH("RH*-wHELCBR",[1]OUT_FinalEnergyCons!$A$4:$A$10000)))*1,[1]OUT_FinalEnergyCons!F$4:F$10000)</f>
        <v>6.0408819517341552</v>
      </c>
      <c r="I976" s="1" cm="1">
        <f t="array" ref="I976">SUMPRODUCT(([1]OUT_FinalEnergyCons!$B$4:$B$10000="Var_Fin")*1,ISNUMBER(SEARCH("R*_ELC",[1]OUT_FinalEnergyCons!$C$4:$C$10000))*1, (ISNUMBER(SEARCH("RH*-wHELCBR",[1]OUT_FinalEnergyCons!$A$4:$A$10000)))*1,[1]OUT_FinalEnergyCons!G$4:G$10000)</f>
        <v>4.0920341176331352</v>
      </c>
      <c r="J976" s="1" cm="1">
        <f t="array" ref="J976">SUMPRODUCT(([1]OUT_FinalEnergyCons!$B$4:$B$10000="Var_Fin")*1,ISNUMBER(SEARCH("R*_ELC",[1]OUT_FinalEnergyCons!$C$4:$C$10000))*1, (ISNUMBER(SEARCH("RH*-wHELCBR",[1]OUT_FinalEnergyCons!$A$4:$A$10000)))*1,[1]OUT_FinalEnergyCons!H$4:H$10000)</f>
        <v>3.410609790568794</v>
      </c>
      <c r="K976" s="1" cm="1">
        <f t="array" ref="K976">SUMPRODUCT(([1]OUT_FinalEnergyCons!$B$4:$B$10000="Var_Fin")*1,ISNUMBER(SEARCH("R*_ELC",[1]OUT_FinalEnergyCons!$C$4:$C$10000))*1, (ISNUMBER(SEARCH("RH*-wHELCBR",[1]OUT_FinalEnergyCons!$A$4:$A$10000)))*1,[1]OUT_FinalEnergyCons!I$4:I$10000)</f>
        <v>3.01259525794692</v>
      </c>
    </row>
    <row r="977" spans="2:11" x14ac:dyDescent="0.35">
      <c r="B977" s="5" t="str">
        <f t="shared" si="667"/>
        <v>SPS1</v>
      </c>
      <c r="C977" s="5" t="str">
        <f t="shared" si="668"/>
        <v>CH</v>
      </c>
      <c r="D977" t="s">
        <v>733</v>
      </c>
      <c r="E977" t="s">
        <v>8</v>
      </c>
      <c r="F977" s="1" cm="1">
        <f t="array" ref="F977">SUMPRODUCT(([1]OUT_FinalEnergyCons!$B$4:$B$10000="Var_Fin")*1,ISNUMBER(SEARCH("R*_ELC",[1]OUT_FinalEnergyCons!$C$4:$C$10000))*1, (ISNUMBER(SEARCH("RH*-wHELCHP",[1]OUT_FinalEnergyCons!$A$4:$A$10000)))*1,[1]OUT_FinalEnergyCons!D$4:D$10000)</f>
        <v>1.1489060850290893</v>
      </c>
      <c r="G977" s="1" cm="1">
        <f t="array" ref="G977">SUMPRODUCT(([1]OUT_FinalEnergyCons!$B$4:$B$10000="Var_Fin")*1,ISNUMBER(SEARCH("R*_ELC",[1]OUT_FinalEnergyCons!$C$4:$C$10000))*1, (ISNUMBER(SEARCH("RH*-wHELCHP",[1]OUT_FinalEnergyCons!$A$4:$A$10000)))*1,[1]OUT_FinalEnergyCons!E$4:E$10000)</f>
        <v>1.2864380162609952</v>
      </c>
      <c r="H977" s="1" cm="1">
        <f t="array" ref="H977">SUMPRODUCT(([1]OUT_FinalEnergyCons!$B$4:$B$10000="Var_Fin")*1,ISNUMBER(SEARCH("R*_ELC",[1]OUT_FinalEnergyCons!$C$4:$C$10000))*1, (ISNUMBER(SEARCH("RH*-wHELCHP",[1]OUT_FinalEnergyCons!$A$4:$A$10000)))*1,[1]OUT_FinalEnergyCons!F$4:F$10000)</f>
        <v>2.6908010467313104</v>
      </c>
      <c r="I977" s="1" cm="1">
        <f t="array" ref="I977">SUMPRODUCT(([1]OUT_FinalEnergyCons!$B$4:$B$10000="Var_Fin")*1,ISNUMBER(SEARCH("R*_ELC",[1]OUT_FinalEnergyCons!$C$4:$C$10000))*1, (ISNUMBER(SEARCH("RH*-wHELCHP",[1]OUT_FinalEnergyCons!$A$4:$A$10000)))*1,[1]OUT_FinalEnergyCons!G$4:G$10000)</f>
        <v>4.2652749983510336</v>
      </c>
      <c r="J977" s="1" cm="1">
        <f t="array" ref="J977">SUMPRODUCT(([1]OUT_FinalEnergyCons!$B$4:$B$10000="Var_Fin")*1,ISNUMBER(SEARCH("R*_ELC",[1]OUT_FinalEnergyCons!$C$4:$C$10000))*1, (ISNUMBER(SEARCH("RH*-wHELCHP",[1]OUT_FinalEnergyCons!$A$4:$A$10000)))*1,[1]OUT_FinalEnergyCons!H$4:H$10000)</f>
        <v>6.128365882942318</v>
      </c>
      <c r="K977" s="1" cm="1">
        <f t="array" ref="K977">SUMPRODUCT(([1]OUT_FinalEnergyCons!$B$4:$B$10000="Var_Fin")*1,ISNUMBER(SEARCH("R*_ELC",[1]OUT_FinalEnergyCons!$C$4:$C$10000))*1, (ISNUMBER(SEARCH("RH*-wHELCHP",[1]OUT_FinalEnergyCons!$A$4:$A$10000)))*1,[1]OUT_FinalEnergyCons!I$4:I$10000)</f>
        <v>6.4832469357675668</v>
      </c>
    </row>
    <row r="978" spans="2:11" x14ac:dyDescent="0.35">
      <c r="B978" s="5" t="str">
        <f t="shared" si="667"/>
        <v>SPS1</v>
      </c>
      <c r="C978" s="5" t="str">
        <f t="shared" si="668"/>
        <v>CH</v>
      </c>
      <c r="D978" t="s">
        <v>1004</v>
      </c>
      <c r="E978" t="s">
        <v>8</v>
      </c>
      <c r="F978" s="1">
        <f>[1]Residential!B$3-([1]Residential!B$10-[1]Residential!B$244)</f>
        <v>44.576907376938124</v>
      </c>
      <c r="G978" s="1">
        <f>[1]Residential!C$3-([1]Residential!C$10-[1]Residential!C$244)</f>
        <v>44.861183619405402</v>
      </c>
      <c r="H978" s="1">
        <f>[1]Residential!D$3-([1]Residential!D$10-[1]Residential!D$244)</f>
        <v>49.523019822346299</v>
      </c>
      <c r="I978" s="1">
        <f>[1]Residential!E$3-([1]Residential!E$10-[1]Residential!E$244)</f>
        <v>46.917909068558778</v>
      </c>
      <c r="J978" s="1">
        <f>[1]Residential!F$3-([1]Residential!F$10-[1]Residential!F$244)</f>
        <v>44.400150555707164</v>
      </c>
      <c r="K978" s="1">
        <f>[1]Residential!G$3-([1]Residential!G$10-[1]Residential!G$244)</f>
        <v>40.816493273414864</v>
      </c>
    </row>
    <row r="979" spans="2:11" x14ac:dyDescent="0.35">
      <c r="B979" s="5" t="str">
        <f>B978</f>
        <v>SPS1</v>
      </c>
      <c r="C979" s="5" t="str">
        <f>C978</f>
        <v>CH</v>
      </c>
      <c r="D979" t="s">
        <v>676</v>
      </c>
      <c r="E979" t="s">
        <v>8</v>
      </c>
      <c r="F979" s="1">
        <f>SUM([1]Residential!B$16:B$17)</f>
        <v>60.231861136319196</v>
      </c>
      <c r="G979" s="1">
        <f>SUM([1]Residential!C$16:C$17)</f>
        <v>51.3200446679718</v>
      </c>
      <c r="H979" s="1">
        <f>SUM([1]Residential!D$16:D$17)</f>
        <v>47.953768017468704</v>
      </c>
      <c r="I979" s="1">
        <f>SUM([1]Residential!E$16:E$17)</f>
        <v>22.350408910862786</v>
      </c>
      <c r="J979" s="1">
        <f>SUM([1]Residential!F$16:F$17)</f>
        <v>4.6909147058428049</v>
      </c>
      <c r="K979" s="1">
        <f>SUM([1]Residential!G$16:G$17)</f>
        <v>0.17104653304818726</v>
      </c>
    </row>
    <row r="980" spans="2:11" x14ac:dyDescent="0.35">
      <c r="B980" s="5" t="str">
        <f t="shared" ref="B980:B991" si="670">B979</f>
        <v>SPS1</v>
      </c>
      <c r="C980" s="5" t="str">
        <f t="shared" ref="C980:C991" si="671">C979</f>
        <v>CH</v>
      </c>
      <c r="D980" t="s">
        <v>1005</v>
      </c>
      <c r="E980" t="s">
        <v>8</v>
      </c>
      <c r="F980" s="1">
        <f>[1]Residential!B$16</f>
        <v>60.231861136319196</v>
      </c>
      <c r="G980" s="1">
        <f>[1]Residential!C$16</f>
        <v>51.3200446679718</v>
      </c>
      <c r="H980" s="1">
        <f>[1]Residential!D$16</f>
        <v>47.953730189965434</v>
      </c>
      <c r="I980" s="1">
        <f>[1]Residential!E$16</f>
        <v>22.350131750691549</v>
      </c>
      <c r="J980" s="1">
        <f>[1]Residential!F$16</f>
        <v>4.6906555223260025</v>
      </c>
      <c r="K980" s="1">
        <f>[1]Residential!G$16</f>
        <v>7.1911766488759039E-6</v>
      </c>
    </row>
    <row r="981" spans="2:11" x14ac:dyDescent="0.35">
      <c r="B981" s="5" t="str">
        <f t="shared" si="670"/>
        <v>SPS1</v>
      </c>
      <c r="C981" s="5" t="str">
        <f t="shared" si="671"/>
        <v>CH</v>
      </c>
      <c r="D981" t="s">
        <v>1006</v>
      </c>
      <c r="E981" t="s">
        <v>8</v>
      </c>
      <c r="F981" s="1">
        <f>[1]Residential!B$17</f>
        <v>0</v>
      </c>
      <c r="G981" s="1">
        <f>[1]Residential!C$17</f>
        <v>0</v>
      </c>
      <c r="H981" s="1">
        <f>[1]Residential!D$17</f>
        <v>3.7827503272423189E-5</v>
      </c>
      <c r="I981" s="1">
        <f>[1]Residential!E$17</f>
        <v>2.7716017123662116E-4</v>
      </c>
      <c r="J981" s="1">
        <f>[1]Residential!F$17</f>
        <v>2.591835168027658E-4</v>
      </c>
      <c r="K981" s="1">
        <f>[1]Residential!G$17</f>
        <v>0.17103934187153838</v>
      </c>
    </row>
    <row r="982" spans="2:11" x14ac:dyDescent="0.35">
      <c r="B982" s="5" t="str">
        <f t="shared" si="670"/>
        <v>SPS1</v>
      </c>
      <c r="C982" s="5" t="str">
        <f t="shared" si="671"/>
        <v>CH</v>
      </c>
      <c r="D982" t="s">
        <v>1007</v>
      </c>
      <c r="E982" t="s">
        <v>8</v>
      </c>
      <c r="F982" s="1">
        <f>SUM(F984,F986)</f>
        <v>50.371440868019988</v>
      </c>
      <c r="G982" s="1">
        <f t="shared" ref="G982:K982" si="672">SUM(G984,G986)</f>
        <v>43.546373501305823</v>
      </c>
      <c r="H982" s="1">
        <f t="shared" si="672"/>
        <v>39.203197607047358</v>
      </c>
      <c r="I982" s="1">
        <f t="shared" si="672"/>
        <v>18.758706563182098</v>
      </c>
      <c r="J982" s="1">
        <f t="shared" si="672"/>
        <v>3.6740053600005349</v>
      </c>
      <c r="K982" s="1">
        <f t="shared" si="672"/>
        <v>0.14901020909538454</v>
      </c>
    </row>
    <row r="983" spans="2:11" x14ac:dyDescent="0.35">
      <c r="B983" s="5" t="str">
        <f t="shared" si="670"/>
        <v>SPS1</v>
      </c>
      <c r="C983" s="5" t="str">
        <f t="shared" si="671"/>
        <v>CH</v>
      </c>
      <c r="D983" t="s">
        <v>708</v>
      </c>
      <c r="E983" t="s">
        <v>8</v>
      </c>
      <c r="F983" s="1" cm="1">
        <f t="array" ref="F983">SUMPRODUCT(([1]OUT_FinalEnergyCons!$B$4:$B$10000="Var_Fin")*1, ([1]OUT_FinalEnergyCons!$C$4:$C$10000="RLFO")*1,(ISNUMBER(SEARCH("RH*-SHLFOBR",[1]OUT_FinalEnergyCons!$A$4:$A$10000)))*1,[1]OUT_FinalEnergyCons!D$4:D$10000)</f>
        <v>50.371440868019988</v>
      </c>
      <c r="G983" s="1" cm="1">
        <f t="array" ref="G983">SUMPRODUCT(([1]OUT_FinalEnergyCons!$B$4:$B$10000="Var_Fin")*1, ([1]OUT_FinalEnergyCons!$C$4:$C$10000="RLFO")*1,(ISNUMBER(SEARCH("RH*-SHLFOBR",[1]OUT_FinalEnergyCons!$A$4:$A$10000)))*1,[1]OUT_FinalEnergyCons!E$4:E$10000)</f>
        <v>43.546373501305823</v>
      </c>
      <c r="H983" s="1" cm="1">
        <f t="array" ref="H983">SUMPRODUCT(([1]OUT_FinalEnergyCons!$B$4:$B$10000="Var_Fin")*1, ([1]OUT_FinalEnergyCons!$C$4:$C$10000="RLFO")*1,(ISNUMBER(SEARCH("RH*-SHLFOBR",[1]OUT_FinalEnergyCons!$A$4:$A$10000)))*1,[1]OUT_FinalEnergyCons!F$4:F$10000)</f>
        <v>39.203197607047358</v>
      </c>
      <c r="I983" s="1" cm="1">
        <f t="array" ref="I983">SUMPRODUCT(([1]OUT_FinalEnergyCons!$B$4:$B$10000="Var_Fin")*1, ([1]OUT_FinalEnergyCons!$C$4:$C$10000="RLFO")*1,(ISNUMBER(SEARCH("RH*-SHLFOBR",[1]OUT_FinalEnergyCons!$A$4:$A$10000)))*1,[1]OUT_FinalEnergyCons!G$4:G$10000)</f>
        <v>18.758706563182098</v>
      </c>
      <c r="J983" s="1" cm="1">
        <f t="array" ref="J983">SUMPRODUCT(([1]OUT_FinalEnergyCons!$B$4:$B$10000="Var_Fin")*1, ([1]OUT_FinalEnergyCons!$C$4:$C$10000="RLFO")*1,(ISNUMBER(SEARCH("RH*-SHLFOBR",[1]OUT_FinalEnergyCons!$A$4:$A$10000)))*1,[1]OUT_FinalEnergyCons!H$4:H$10000)</f>
        <v>3.6740053600005349</v>
      </c>
      <c r="K983" s="1" cm="1">
        <f t="array" ref="K983">SUMPRODUCT(([1]OUT_FinalEnergyCons!$B$4:$B$10000="Var_Fin")*1, ([1]OUT_FinalEnergyCons!$C$4:$C$10000="RLFO")*1,(ISNUMBER(SEARCH("RH*-SHLFOBR",[1]OUT_FinalEnergyCons!$A$4:$A$10000)))*1,[1]OUT_FinalEnergyCons!I$4:I$10000)</f>
        <v>0.14901020909538454</v>
      </c>
    </row>
    <row r="984" spans="2:11" x14ac:dyDescent="0.35">
      <c r="B984" s="5" t="str">
        <f t="shared" si="670"/>
        <v>SPS1</v>
      </c>
      <c r="C984" s="5" t="str">
        <f t="shared" si="671"/>
        <v>CH</v>
      </c>
      <c r="D984" t="s">
        <v>1008</v>
      </c>
      <c r="E984" t="s">
        <v>8</v>
      </c>
      <c r="F984" s="1">
        <f>F985</f>
        <v>50.371440868019988</v>
      </c>
      <c r="G984" s="1">
        <f t="shared" ref="G984:K984" si="673">G985</f>
        <v>43.546373501305823</v>
      </c>
      <c r="H984" s="1">
        <f t="shared" si="673"/>
        <v>39.203166682280717</v>
      </c>
      <c r="I984" s="1">
        <f t="shared" si="673"/>
        <v>18.758473942546658</v>
      </c>
      <c r="J984" s="1">
        <f t="shared" si="673"/>
        <v>3.6738023629968226</v>
      </c>
      <c r="K984" s="1">
        <f t="shared" si="673"/>
        <v>6.2647205821410334E-6</v>
      </c>
    </row>
    <row r="985" spans="2:11" x14ac:dyDescent="0.35">
      <c r="B985" s="5" t="str">
        <f t="shared" si="670"/>
        <v>SPS1</v>
      </c>
      <c r="C985" s="5" t="str">
        <f t="shared" si="671"/>
        <v>CH</v>
      </c>
      <c r="D985" t="s">
        <v>709</v>
      </c>
      <c r="E985" t="s">
        <v>8</v>
      </c>
      <c r="F985" s="1">
        <f>F983*IFERROR(F980/F979,0)</f>
        <v>50.371440868019988</v>
      </c>
      <c r="G985" s="1">
        <f t="shared" ref="G985:K985" si="674">G983*IFERROR(G980/G979,0)</f>
        <v>43.546373501305823</v>
      </c>
      <c r="H985" s="1">
        <f t="shared" si="674"/>
        <v>39.203166682280717</v>
      </c>
      <c r="I985" s="1">
        <f t="shared" si="674"/>
        <v>18.758473942546658</v>
      </c>
      <c r="J985" s="1">
        <f t="shared" si="674"/>
        <v>3.6738023629968226</v>
      </c>
      <c r="K985" s="1">
        <f t="shared" si="674"/>
        <v>6.2647205821410334E-6</v>
      </c>
    </row>
    <row r="986" spans="2:11" x14ac:dyDescent="0.35">
      <c r="B986" s="5" t="str">
        <f t="shared" si="670"/>
        <v>SPS1</v>
      </c>
      <c r="C986" s="5" t="str">
        <f t="shared" si="671"/>
        <v>CH</v>
      </c>
      <c r="D986" t="s">
        <v>1009</v>
      </c>
      <c r="E986" t="s">
        <v>8</v>
      </c>
      <c r="F986" s="1">
        <f>F987</f>
        <v>0</v>
      </c>
      <c r="G986" s="1">
        <f t="shared" ref="G986:K986" si="675">G987</f>
        <v>0</v>
      </c>
      <c r="H986" s="1">
        <f t="shared" si="675"/>
        <v>3.0924766640794132E-5</v>
      </c>
      <c r="I986" s="1">
        <f t="shared" si="675"/>
        <v>2.3262063544038369E-4</v>
      </c>
      <c r="J986" s="1">
        <f t="shared" si="675"/>
        <v>2.0299700371229079E-4</v>
      </c>
      <c r="K986" s="1">
        <f t="shared" si="675"/>
        <v>0.14900394437480241</v>
      </c>
    </row>
    <row r="987" spans="2:11" x14ac:dyDescent="0.35">
      <c r="B987" s="5" t="str">
        <f t="shared" si="670"/>
        <v>SPS1</v>
      </c>
      <c r="C987" s="5" t="str">
        <f t="shared" si="671"/>
        <v>CH</v>
      </c>
      <c r="D987" t="s">
        <v>710</v>
      </c>
      <c r="E987" t="s">
        <v>8</v>
      </c>
      <c r="F987" s="1">
        <f>F983-F985</f>
        <v>0</v>
      </c>
      <c r="G987" s="1">
        <f t="shared" ref="G987:K987" si="676">G983-G985</f>
        <v>0</v>
      </c>
      <c r="H987" s="1">
        <f t="shared" si="676"/>
        <v>3.0924766640794132E-5</v>
      </c>
      <c r="I987" s="1">
        <f t="shared" si="676"/>
        <v>2.3262063544038369E-4</v>
      </c>
      <c r="J987" s="1">
        <f t="shared" si="676"/>
        <v>2.0299700371229079E-4</v>
      </c>
      <c r="K987" s="1">
        <f t="shared" si="676"/>
        <v>0.14900394437480241</v>
      </c>
    </row>
    <row r="988" spans="2:11" x14ac:dyDescent="0.35">
      <c r="B988" s="5" t="str">
        <f t="shared" si="670"/>
        <v>SPS1</v>
      </c>
      <c r="C988" s="5" t="str">
        <f t="shared" si="671"/>
        <v>CH</v>
      </c>
      <c r="D988" t="s">
        <v>1010</v>
      </c>
      <c r="E988" t="s">
        <v>8</v>
      </c>
      <c r="F988" s="1">
        <f>F989</f>
        <v>9.8604202682992046</v>
      </c>
      <c r="G988" s="1">
        <f t="shared" ref="G988:K988" si="677">G989</f>
        <v>7.7736711666659826</v>
      </c>
      <c r="H988" s="1">
        <f t="shared" si="677"/>
        <v>8.7505704104213518</v>
      </c>
      <c r="I988" s="1">
        <f t="shared" si="677"/>
        <v>3.5917023476806871</v>
      </c>
      <c r="J988" s="1">
        <f t="shared" si="677"/>
        <v>1.0169093458422698</v>
      </c>
      <c r="K988" s="1">
        <f t="shared" si="677"/>
        <v>2.2036323952802722E-2</v>
      </c>
    </row>
    <row r="989" spans="2:11" x14ac:dyDescent="0.35">
      <c r="B989" s="5" t="str">
        <f t="shared" si="670"/>
        <v>SPS1</v>
      </c>
      <c r="C989" s="5" t="str">
        <f t="shared" si="671"/>
        <v>CH</v>
      </c>
      <c r="D989" t="s">
        <v>711</v>
      </c>
      <c r="E989" t="s">
        <v>8</v>
      </c>
      <c r="F989" s="1" cm="1">
        <f t="array" ref="F989">SUMPRODUCT(([1]OUT_FinalEnergyCons!$B$4:$B$10000="Var_Fin")*1, ([1]OUT_FinalEnergyCons!$C$4:$C$10000="RLFO")*1,(ISNUMBER(SEARCH("RH*-wHLFOBR",[1]OUT_FinalEnergyCons!$A$4:$A$10000)))*1,[1]OUT_FinalEnergyCons!D$4:D$10000)</f>
        <v>9.8604202682992046</v>
      </c>
      <c r="G989" s="1" cm="1">
        <f t="array" ref="G989">SUMPRODUCT(([1]OUT_FinalEnergyCons!$B$4:$B$10000="Var_Fin")*1, ([1]OUT_FinalEnergyCons!$C$4:$C$10000="RLFO")*1,(ISNUMBER(SEARCH("RH*-wHLFOBR",[1]OUT_FinalEnergyCons!$A$4:$A$10000)))*1,[1]OUT_FinalEnergyCons!E$4:E$10000)</f>
        <v>7.7736711666659826</v>
      </c>
      <c r="H989" s="1" cm="1">
        <f t="array" ref="H989">SUMPRODUCT(([1]OUT_FinalEnergyCons!$B$4:$B$10000="Var_Fin")*1, ([1]OUT_FinalEnergyCons!$C$4:$C$10000="RLFO")*1,(ISNUMBER(SEARCH("RH*-wHLFOBR",[1]OUT_FinalEnergyCons!$A$4:$A$10000)))*1,[1]OUT_FinalEnergyCons!F$4:F$10000)</f>
        <v>8.7505704104213518</v>
      </c>
      <c r="I989" s="1" cm="1">
        <f t="array" ref="I989">SUMPRODUCT(([1]OUT_FinalEnergyCons!$B$4:$B$10000="Var_Fin")*1, ([1]OUT_FinalEnergyCons!$C$4:$C$10000="RLFO")*1,(ISNUMBER(SEARCH("RH*-wHLFOBR",[1]OUT_FinalEnergyCons!$A$4:$A$10000)))*1,[1]OUT_FinalEnergyCons!G$4:G$10000)</f>
        <v>3.5917023476806871</v>
      </c>
      <c r="J989" s="1" cm="1">
        <f t="array" ref="J989">SUMPRODUCT(([1]OUT_FinalEnergyCons!$B$4:$B$10000="Var_Fin")*1, ([1]OUT_FinalEnergyCons!$C$4:$C$10000="RLFO")*1,(ISNUMBER(SEARCH("RH*-wHLFOBR",[1]OUT_FinalEnergyCons!$A$4:$A$10000)))*1,[1]OUT_FinalEnergyCons!H$4:H$10000)</f>
        <v>1.0169093458422698</v>
      </c>
      <c r="K989" s="1" cm="1">
        <f t="array" ref="K989">SUMPRODUCT(([1]OUT_FinalEnergyCons!$B$4:$B$10000="Var_Fin")*1, ([1]OUT_FinalEnergyCons!$C$4:$C$10000="RLFO")*1,(ISNUMBER(SEARCH("RH*-wHLFOBR",[1]OUT_FinalEnergyCons!$A$4:$A$10000)))*1,[1]OUT_FinalEnergyCons!I$4:I$10000)</f>
        <v>2.2036323952802722E-2</v>
      </c>
    </row>
    <row r="990" spans="2:11" x14ac:dyDescent="0.35">
      <c r="B990" s="5" t="str">
        <f t="shared" si="670"/>
        <v>SPS1</v>
      </c>
      <c r="C990" s="5" t="str">
        <f t="shared" si="671"/>
        <v>CH</v>
      </c>
      <c r="D990" t="s">
        <v>712</v>
      </c>
      <c r="E990" t="s">
        <v>8</v>
      </c>
      <c r="F990" s="1">
        <f>IFERROR(F980/F979,0)*F989</f>
        <v>9.8604202682992046</v>
      </c>
      <c r="G990" s="1">
        <f t="shared" ref="G990:K990" si="678">IFERROR(G980/G979,0)*G989</f>
        <v>7.7736711666659826</v>
      </c>
      <c r="H990" s="1">
        <f t="shared" si="678"/>
        <v>8.7505635076847277</v>
      </c>
      <c r="I990" s="1">
        <f t="shared" si="678"/>
        <v>3.5916578081448924</v>
      </c>
      <c r="J990" s="1">
        <f t="shared" si="678"/>
        <v>1.0168531593291796</v>
      </c>
      <c r="K990" s="1">
        <f t="shared" si="678"/>
        <v>9.2645606673487109E-7</v>
      </c>
    </row>
    <row r="991" spans="2:11" x14ac:dyDescent="0.35">
      <c r="B991" s="5" t="str">
        <f t="shared" si="670"/>
        <v>SPS1</v>
      </c>
      <c r="C991" s="5" t="str">
        <f t="shared" si="671"/>
        <v>CH</v>
      </c>
      <c r="D991" t="s">
        <v>713</v>
      </c>
      <c r="E991" t="s">
        <v>8</v>
      </c>
      <c r="F991" s="1">
        <f>F989-F990</f>
        <v>0</v>
      </c>
      <c r="G991" s="1">
        <f t="shared" ref="G991:K991" si="679">G989-G990</f>
        <v>0</v>
      </c>
      <c r="H991" s="1">
        <f t="shared" si="679"/>
        <v>6.9027366240703714E-6</v>
      </c>
      <c r="I991" s="1">
        <f t="shared" si="679"/>
        <v>4.4539535794640983E-5</v>
      </c>
      <c r="J991" s="1">
        <f t="shared" si="679"/>
        <v>5.6186513090139556E-5</v>
      </c>
      <c r="K991" s="1">
        <f t="shared" si="679"/>
        <v>2.2035397496735987E-2</v>
      </c>
    </row>
    <row r="992" spans="2:11" x14ac:dyDescent="0.35">
      <c r="B992" s="5" t="str">
        <f>B991</f>
        <v>SPS1</v>
      </c>
      <c r="C992" s="5" t="str">
        <f>C991</f>
        <v>CH</v>
      </c>
      <c r="D992" t="s">
        <v>677</v>
      </c>
      <c r="E992" t="s">
        <v>8</v>
      </c>
      <c r="F992" s="1">
        <f>SUM(F993:F994)</f>
        <v>47.001938621555681</v>
      </c>
      <c r="G992" s="1">
        <f t="shared" ref="G992:K992" si="680">SUM(G993:G994)</f>
        <v>47.99190429558692</v>
      </c>
      <c r="H992" s="1">
        <f t="shared" si="680"/>
        <v>46.459471027411581</v>
      </c>
      <c r="I992" s="1">
        <f t="shared" si="680"/>
        <v>33.234617097143136</v>
      </c>
      <c r="J992" s="1">
        <f t="shared" si="680"/>
        <v>13.373567593177281</v>
      </c>
      <c r="K992" s="1">
        <f t="shared" si="680"/>
        <v>7.9449462053508437</v>
      </c>
    </row>
    <row r="993" spans="2:13" x14ac:dyDescent="0.35">
      <c r="B993" s="5" t="str">
        <f t="shared" ref="B993:B1053" si="681">B992</f>
        <v>SPS1</v>
      </c>
      <c r="C993" s="5" t="str">
        <f t="shared" ref="C993:C1053" si="682">C992</f>
        <v>CH</v>
      </c>
      <c r="D993" t="s">
        <v>1011</v>
      </c>
      <c r="E993" t="s">
        <v>8</v>
      </c>
      <c r="F993" s="1">
        <f>[1]Residential!B$18</f>
        <v>46.691054900954754</v>
      </c>
      <c r="G993" s="1">
        <f>[1]Residential!C$18</f>
        <v>46.029838706414296</v>
      </c>
      <c r="H993" s="1">
        <f>[1]Residential!D$18</f>
        <v>46.454660991112519</v>
      </c>
      <c r="I993" s="1">
        <f>[1]Residential!E$18</f>
        <v>33.234519167507443</v>
      </c>
      <c r="J993" s="1">
        <f>[1]Residential!F$18</f>
        <v>13.373245572127821</v>
      </c>
      <c r="K993" s="1">
        <f>[1]Residential!G$18</f>
        <v>7.944783328950269</v>
      </c>
    </row>
    <row r="994" spans="2:13" x14ac:dyDescent="0.35">
      <c r="B994" s="5" t="str">
        <f t="shared" si="681"/>
        <v>SPS1</v>
      </c>
      <c r="C994" s="5" t="str">
        <f t="shared" si="682"/>
        <v>CH</v>
      </c>
      <c r="D994" t="s">
        <v>1012</v>
      </c>
      <c r="E994" t="s">
        <v>8</v>
      </c>
      <c r="F994" s="1">
        <f>[1]Residential!B$19</f>
        <v>0.31088372060092861</v>
      </c>
      <c r="G994" s="1">
        <f>[1]Residential!C$19</f>
        <v>1.9620655891726233</v>
      </c>
      <c r="H994" s="1">
        <f>[1]Residential!D$19</f>
        <v>4.8100362990598066E-3</v>
      </c>
      <c r="I994" s="1">
        <f>[1]Residential!E$19</f>
        <v>9.7929635696090728E-5</v>
      </c>
      <c r="J994" s="1">
        <f>[1]Residential!F$19</f>
        <v>3.2202104946047714E-4</v>
      </c>
      <c r="K994" s="1">
        <f>[1]Residential!G$19</f>
        <v>1.6287640057496914E-4</v>
      </c>
    </row>
    <row r="995" spans="2:13" x14ac:dyDescent="0.35">
      <c r="B995" s="5" t="str">
        <f t="shared" si="681"/>
        <v>SPS1</v>
      </c>
      <c r="C995" s="5" t="str">
        <f t="shared" si="682"/>
        <v>CH</v>
      </c>
      <c r="D995" t="s">
        <v>1013</v>
      </c>
      <c r="E995" t="s">
        <v>8</v>
      </c>
      <c r="F995" s="1">
        <f>SUM(F996:F997)</f>
        <v>38.494662091145642</v>
      </c>
      <c r="G995" s="1">
        <f t="shared" ref="G995:K995" si="683">SUM(G996:G997)</f>
        <v>40.659232237063101</v>
      </c>
      <c r="H995" s="1">
        <f t="shared" si="683"/>
        <v>36.171217376209313</v>
      </c>
      <c r="I995" s="1">
        <f t="shared" si="683"/>
        <v>26.590621617144961</v>
      </c>
      <c r="J995" s="1">
        <f t="shared" si="683"/>
        <v>10.015069102650898</v>
      </c>
      <c r="K995" s="1">
        <f t="shared" si="683"/>
        <v>5.8730262319775921</v>
      </c>
    </row>
    <row r="996" spans="2:13" x14ac:dyDescent="0.35">
      <c r="B996" s="5" t="str">
        <f t="shared" si="681"/>
        <v>SPS1</v>
      </c>
      <c r="C996" s="5" t="str">
        <f t="shared" si="682"/>
        <v>CH</v>
      </c>
      <c r="D996" t="s">
        <v>714</v>
      </c>
      <c r="E996" t="s">
        <v>8</v>
      </c>
      <c r="F996" s="1" cm="1">
        <f t="array" ref="F996">SUMPRODUCT(([1]OUT_FinalEnergyCons!$B$4:$B$10000="Var_Fin")*1,([1]OUT_FinalEnergyCons!$C$4:$C$10000="RNGA")*1, (ISNUMBER(SEARCH("RH*-SHNGABR",[1]OUT_FinalEnergyCons!$A$4:$A$10000)))*1,[1]OUT_FinalEnergyCons!D$4:D$10000)</f>
        <v>38.494662091145642</v>
      </c>
      <c r="G996" s="1" cm="1">
        <f t="array" ref="G996">SUMPRODUCT(([1]OUT_FinalEnergyCons!$B$4:$B$10000="Var_Fin")*1,([1]OUT_FinalEnergyCons!$C$4:$C$10000="RNGA")*1, (ISNUMBER(SEARCH("RH*-SHNGABR",[1]OUT_FinalEnergyCons!$A$4:$A$10000)))*1,[1]OUT_FinalEnergyCons!E$4:E$10000)</f>
        <v>40.659232237063101</v>
      </c>
      <c r="H996" s="1" cm="1">
        <f t="array" ref="H996">SUMPRODUCT(([1]OUT_FinalEnergyCons!$B$4:$B$10000="Var_Fin")*1,([1]OUT_FinalEnergyCons!$C$4:$C$10000="RNGA")*1, (ISNUMBER(SEARCH("RH*-SHNGABR",[1]OUT_FinalEnergyCons!$A$4:$A$10000)))*1,[1]OUT_FinalEnergyCons!F$4:F$10000)</f>
        <v>34.090994487873594</v>
      </c>
      <c r="I996" s="1" cm="1">
        <f t="array" ref="I996">SUMPRODUCT(([1]OUT_FinalEnergyCons!$B$4:$B$10000="Var_Fin")*1,([1]OUT_FinalEnergyCons!$C$4:$C$10000="RNGA")*1, (ISNUMBER(SEARCH("RH*-SHNGABR",[1]OUT_FinalEnergyCons!$A$4:$A$10000)))*1,[1]OUT_FinalEnergyCons!G$4:G$10000)</f>
        <v>23.548682504684557</v>
      </c>
      <c r="J996" s="1" cm="1">
        <f t="array" ref="J996">SUMPRODUCT(([1]OUT_FinalEnergyCons!$B$4:$B$10000="Var_Fin")*1,([1]OUT_FinalEnergyCons!$C$4:$C$10000="RNGA")*1, (ISNUMBER(SEARCH("RH*-SHNGABR",[1]OUT_FinalEnergyCons!$A$4:$A$10000)))*1,[1]OUT_FinalEnergyCons!H$4:H$10000)</f>
        <v>5.8739205789830855</v>
      </c>
      <c r="K996" s="1" cm="1">
        <f t="array" ref="K996">SUMPRODUCT(([1]OUT_FinalEnergyCons!$B$4:$B$10000="Var_Fin")*1,([1]OUT_FinalEnergyCons!$C$4:$C$10000="RNGA")*1, (ISNUMBER(SEARCH("RH*-SHNGABR",[1]OUT_FinalEnergyCons!$A$4:$A$10000)))*1,[1]OUT_FinalEnergyCons!I$4:I$10000)</f>
        <v>2.0820459991343467</v>
      </c>
    </row>
    <row r="997" spans="2:13" x14ac:dyDescent="0.35">
      <c r="B997" s="5" t="str">
        <f t="shared" si="681"/>
        <v>SPS1</v>
      </c>
      <c r="C997" s="5" t="str">
        <f t="shared" si="682"/>
        <v>CH</v>
      </c>
      <c r="D997" t="s">
        <v>715</v>
      </c>
      <c r="E997" t="s">
        <v>8</v>
      </c>
      <c r="F997" s="1" cm="1">
        <f t="array" ref="F997">SUMPRODUCT(([1]OUT_FinalEnergyCons!$B$4:$B$10000="Var_Fin")*1, ([1]OUT_FinalEnergyCons!$C$4:$C$10000="RNGA")*1,ISNUMBER(SEARCH("RH*-SHngahp",[1]OUT_FinalEnergyCons!$A$4:$A$10000))*1,[1]OUT_FinalEnergyCons!D$4:D$10000)</f>
        <v>0</v>
      </c>
      <c r="G997" s="1" cm="1">
        <f t="array" ref="G997">SUMPRODUCT(([1]OUT_FinalEnergyCons!$B$4:$B$10000="Var_Fin")*1, ([1]OUT_FinalEnergyCons!$C$4:$C$10000="RNGA")*1,ISNUMBER(SEARCH("RH*-SHngahp",[1]OUT_FinalEnergyCons!$A$4:$A$10000))*1,[1]OUT_FinalEnergyCons!E$4:E$10000)</f>
        <v>0</v>
      </c>
      <c r="H997" s="1" cm="1">
        <f t="array" ref="H997">SUMPRODUCT(([1]OUT_FinalEnergyCons!$B$4:$B$10000="Var_Fin")*1, ([1]OUT_FinalEnergyCons!$C$4:$C$10000="RNGA")*1,ISNUMBER(SEARCH("RH*-SHngahp",[1]OUT_FinalEnergyCons!$A$4:$A$10000))*1,[1]OUT_FinalEnergyCons!F$4:F$10000)</f>
        <v>2.0802228883357206</v>
      </c>
      <c r="I997" s="1" cm="1">
        <f t="array" ref="I997">SUMPRODUCT(([1]OUT_FinalEnergyCons!$B$4:$B$10000="Var_Fin")*1, ([1]OUT_FinalEnergyCons!$C$4:$C$10000="RNGA")*1,ISNUMBER(SEARCH("RH*-SHngahp",[1]OUT_FinalEnergyCons!$A$4:$A$10000))*1,[1]OUT_FinalEnergyCons!G$4:G$10000)</f>
        <v>3.0419391124604029</v>
      </c>
      <c r="J997" s="1" cm="1">
        <f t="array" ref="J997">SUMPRODUCT(([1]OUT_FinalEnergyCons!$B$4:$B$10000="Var_Fin")*1, ([1]OUT_FinalEnergyCons!$C$4:$C$10000="RNGA")*1,ISNUMBER(SEARCH("RH*-SHngahp",[1]OUT_FinalEnergyCons!$A$4:$A$10000))*1,[1]OUT_FinalEnergyCons!H$4:H$10000)</f>
        <v>4.1411485236678116</v>
      </c>
      <c r="K997" s="1" cm="1">
        <f t="array" ref="K997">SUMPRODUCT(([1]OUT_FinalEnergyCons!$B$4:$B$10000="Var_Fin")*1, ([1]OUT_FinalEnergyCons!$C$4:$C$10000="RNGA")*1,ISNUMBER(SEARCH("RH*-SHngahp",[1]OUT_FinalEnergyCons!$A$4:$A$10000))*1,[1]OUT_FinalEnergyCons!I$4:I$10000)</f>
        <v>3.7909802328432454</v>
      </c>
    </row>
    <row r="998" spans="2:13" x14ac:dyDescent="0.35">
      <c r="B998" s="5" t="str">
        <f t="shared" si="681"/>
        <v>SPS1</v>
      </c>
      <c r="C998" s="5" t="str">
        <f t="shared" si="682"/>
        <v>CH</v>
      </c>
      <c r="D998" t="s">
        <v>1014</v>
      </c>
      <c r="E998" t="s">
        <v>8</v>
      </c>
      <c r="F998" s="1">
        <f>SUM(F999:F1000)</f>
        <v>38.240047832135431</v>
      </c>
      <c r="G998" s="1">
        <f t="shared" ref="G998:K998" si="684">SUM(G999:G1000)</f>
        <v>38.996950199593385</v>
      </c>
      <c r="H998" s="1">
        <f t="shared" si="684"/>
        <v>36.167472502134913</v>
      </c>
      <c r="I998" s="1">
        <f t="shared" si="684"/>
        <v>26.590543264808893</v>
      </c>
      <c r="J998" s="1">
        <f t="shared" si="684"/>
        <v>10.014827950614212</v>
      </c>
      <c r="K998" s="1">
        <f t="shared" si="684"/>
        <v>5.8729058312412725</v>
      </c>
    </row>
    <row r="999" spans="2:13" x14ac:dyDescent="0.35">
      <c r="B999" s="5" t="str">
        <f t="shared" si="681"/>
        <v>SPS1</v>
      </c>
      <c r="C999" s="5" t="str">
        <f t="shared" si="682"/>
        <v>CH</v>
      </c>
      <c r="D999" t="s">
        <v>716</v>
      </c>
      <c r="E999" t="s">
        <v>8</v>
      </c>
      <c r="F999" s="1">
        <f>F996-F1002</f>
        <v>38.240047832135431</v>
      </c>
      <c r="G999" s="1">
        <f t="shared" ref="G999:K999" si="685">G996-G1002</f>
        <v>38.996950199593385</v>
      </c>
      <c r="H999" s="1">
        <f t="shared" si="685"/>
        <v>34.087464983182052</v>
      </c>
      <c r="I999" s="1">
        <f t="shared" si="685"/>
        <v>23.548613115773229</v>
      </c>
      <c r="J999" s="1">
        <f t="shared" si="685"/>
        <v>5.8737791413258478</v>
      </c>
      <c r="K999" s="1">
        <f t="shared" si="685"/>
        <v>2.0820033158801867</v>
      </c>
    </row>
    <row r="1000" spans="2:13" x14ac:dyDescent="0.35">
      <c r="B1000" s="5" t="str">
        <f t="shared" si="681"/>
        <v>SPS1</v>
      </c>
      <c r="C1000" s="5" t="str">
        <f t="shared" si="682"/>
        <v>CH</v>
      </c>
      <c r="D1000" t="s">
        <v>734</v>
      </c>
      <c r="E1000" t="s">
        <v>8</v>
      </c>
      <c r="F1000" s="1">
        <f>F997-F1003</f>
        <v>0</v>
      </c>
      <c r="G1000" s="1">
        <f t="shared" ref="G1000:K1000" si="686">G997-G1003</f>
        <v>0</v>
      </c>
      <c r="H1000" s="1">
        <f t="shared" si="686"/>
        <v>2.0800075189528635</v>
      </c>
      <c r="I1000" s="1">
        <f t="shared" si="686"/>
        <v>3.0419301490356636</v>
      </c>
      <c r="J1000" s="1">
        <f t="shared" si="686"/>
        <v>4.1410488092883631</v>
      </c>
      <c r="K1000" s="1">
        <f t="shared" si="686"/>
        <v>3.7909025153610854</v>
      </c>
    </row>
    <row r="1001" spans="2:13" x14ac:dyDescent="0.35">
      <c r="B1001" s="5" t="str">
        <f t="shared" si="681"/>
        <v>SPS1</v>
      </c>
      <c r="C1001" s="5" t="str">
        <f t="shared" si="682"/>
        <v>CH</v>
      </c>
      <c r="D1001" t="s">
        <v>1015</v>
      </c>
      <c r="E1001" t="s">
        <v>8</v>
      </c>
      <c r="F1001" s="1">
        <f>SUM(F1002:F1003)</f>
        <v>0.25461425901021234</v>
      </c>
      <c r="G1001" s="1">
        <f t="shared" ref="G1001:K1001" si="687">SUM(G1002:G1003)</f>
        <v>1.6622820374697138</v>
      </c>
      <c r="H1001" s="1">
        <f t="shared" si="687"/>
        <v>3.7448740743969452E-3</v>
      </c>
      <c r="I1001" s="1">
        <f t="shared" si="687"/>
        <v>7.8352336068389451E-5</v>
      </c>
      <c r="J1001" s="1">
        <f t="shared" si="687"/>
        <v>2.4115203668616844E-4</v>
      </c>
      <c r="K1001" s="1">
        <f t="shared" si="687"/>
        <v>1.2040073631998144E-4</v>
      </c>
      <c r="L1001" s="1"/>
    </row>
    <row r="1002" spans="2:13" x14ac:dyDescent="0.35">
      <c r="B1002" s="5" t="str">
        <f t="shared" si="681"/>
        <v>SPS1</v>
      </c>
      <c r="C1002" s="5" t="str">
        <f t="shared" si="682"/>
        <v>CH</v>
      </c>
      <c r="D1002" t="s">
        <v>717</v>
      </c>
      <c r="E1002" t="s">
        <v>8</v>
      </c>
      <c r="F1002" s="1">
        <f>F996*IFERROR(F$994/F$992,0)</f>
        <v>0.25461425901021234</v>
      </c>
      <c r="G1002" s="1">
        <f t="shared" ref="G1002:K1002" si="688">G996*IFERROR(G994/G992,0)</f>
        <v>1.6622820374697138</v>
      </c>
      <c r="H1002" s="1">
        <f t="shared" si="688"/>
        <v>3.529504691540084E-3</v>
      </c>
      <c r="I1002" s="1">
        <f t="shared" si="688"/>
        <v>6.9388911328991919E-5</v>
      </c>
      <c r="J1002" s="1">
        <f t="shared" si="688"/>
        <v>1.4143765723789484E-4</v>
      </c>
      <c r="K1002" s="1">
        <f t="shared" si="688"/>
        <v>4.2683254160000017E-5</v>
      </c>
    </row>
    <row r="1003" spans="2:13" x14ac:dyDescent="0.35">
      <c r="B1003" s="5" t="str">
        <f t="shared" si="681"/>
        <v>SPS1</v>
      </c>
      <c r="C1003" s="5" t="str">
        <f t="shared" si="682"/>
        <v>CH</v>
      </c>
      <c r="D1003" t="s">
        <v>735</v>
      </c>
      <c r="E1003" t="s">
        <v>8</v>
      </c>
      <c r="F1003" s="1">
        <f>F997*IFERROR(F$994/F$992,0)</f>
        <v>0</v>
      </c>
      <c r="G1003" s="1">
        <f t="shared" ref="G1003:K1003" si="689">G997*IFERROR(G$994/G$992,0)</f>
        <v>0</v>
      </c>
      <c r="H1003" s="1">
        <f t="shared" si="689"/>
        <v>2.153693828568611E-4</v>
      </c>
      <c r="I1003" s="1">
        <f t="shared" si="689"/>
        <v>8.9634247393975283E-6</v>
      </c>
      <c r="J1003" s="1">
        <f t="shared" si="689"/>
        <v>9.9714379448273584E-5</v>
      </c>
      <c r="K1003" s="1">
        <f t="shared" si="689"/>
        <v>7.7717482159981417E-5</v>
      </c>
    </row>
    <row r="1004" spans="2:13" x14ac:dyDescent="0.35">
      <c r="B1004" s="5" t="str">
        <f t="shared" si="681"/>
        <v>SPS1</v>
      </c>
      <c r="C1004" s="5" t="str">
        <f t="shared" si="682"/>
        <v>CH</v>
      </c>
      <c r="D1004" t="s">
        <v>1016</v>
      </c>
      <c r="E1004" t="s">
        <v>8</v>
      </c>
      <c r="F1004" s="1">
        <f>SUM(F1005:F1006)</f>
        <v>8.5072765304100386</v>
      </c>
      <c r="G1004" s="1">
        <f t="shared" ref="G1004:K1004" si="690">SUM(G1005:G1006)</f>
        <v>7.3326720585238192</v>
      </c>
      <c r="H1004" s="1">
        <f t="shared" si="690"/>
        <v>10.288253651202266</v>
      </c>
      <c r="I1004" s="1">
        <f t="shared" si="690"/>
        <v>6.6439954799981766</v>
      </c>
      <c r="J1004" s="1">
        <f t="shared" si="690"/>
        <v>3.3584984905263839</v>
      </c>
      <c r="K1004" s="1">
        <f t="shared" si="690"/>
        <v>2.0719199733732516</v>
      </c>
      <c r="L1004" s="1"/>
      <c r="M1004" s="19"/>
    </row>
    <row r="1005" spans="2:13" x14ac:dyDescent="0.35">
      <c r="B1005" s="5" t="str">
        <f t="shared" si="681"/>
        <v>SPS1</v>
      </c>
      <c r="C1005" s="5" t="str">
        <f t="shared" si="682"/>
        <v>CH</v>
      </c>
      <c r="D1005" t="s">
        <v>719</v>
      </c>
      <c r="E1005" t="s">
        <v>8</v>
      </c>
      <c r="F1005" s="1">
        <f>F992-F996-F997-F1006</f>
        <v>8.5072765304100386</v>
      </c>
      <c r="G1005" s="1">
        <f t="shared" ref="G1005:K1005" si="691">G992-G996-G997-G1006</f>
        <v>7.3326720585238192</v>
      </c>
      <c r="H1005" s="1">
        <f t="shared" si="691"/>
        <v>9.8454731995830311</v>
      </c>
      <c r="I1005" s="1">
        <f t="shared" si="691"/>
        <v>5.8582856846696565</v>
      </c>
      <c r="J1005" s="1">
        <f t="shared" si="691"/>
        <v>2.0355012524742824</v>
      </c>
      <c r="K1005" s="1">
        <f t="shared" si="691"/>
        <v>0.80461241122441396</v>
      </c>
    </row>
    <row r="1006" spans="2:13" x14ac:dyDescent="0.35">
      <c r="B1006" s="5" t="str">
        <f t="shared" si="681"/>
        <v>SPS1</v>
      </c>
      <c r="C1006" s="5" t="str">
        <f t="shared" si="682"/>
        <v>CH</v>
      </c>
      <c r="D1006" t="s">
        <v>736</v>
      </c>
      <c r="E1006" t="s">
        <v>8</v>
      </c>
      <c r="F1006" s="1" cm="1">
        <f t="array" ref="F1006">SUMPRODUCT(([1]OUT_FinalEnergyCons!$B$4:$B$10000="Var_Fin")*1, ([1]OUT_FinalEnergyCons!$C$4:$C$10000="RNGA")*1,ISNUMBER(SEARCH("RH*-wHngahp",[1]OUT_FinalEnergyCons!$A$4:$A$10000))*1,[1]OUT_FinalEnergyCons!D$4:D$10000)</f>
        <v>0</v>
      </c>
      <c r="G1006" s="1" cm="1">
        <f t="array" ref="G1006">SUMPRODUCT(([1]OUT_FinalEnergyCons!$B$4:$B$10000="Var_Fin")*1, ([1]OUT_FinalEnergyCons!$C$4:$C$10000="RNGA")*1,ISNUMBER(SEARCH("RH*-wHngahp",[1]OUT_FinalEnergyCons!$A$4:$A$10000))*1,[1]OUT_FinalEnergyCons!E$4:E$10000)</f>
        <v>0</v>
      </c>
      <c r="H1006" s="1" cm="1">
        <f t="array" ref="H1006">SUMPRODUCT(([1]OUT_FinalEnergyCons!$B$4:$B$10000="Var_Fin")*1, ([1]OUT_FinalEnergyCons!$C$4:$C$10000="RNGA")*1,ISNUMBER(SEARCH("RH*-wHngahp",[1]OUT_FinalEnergyCons!$A$4:$A$10000))*1,[1]OUT_FinalEnergyCons!F$4:F$10000)</f>
        <v>0.44278045161923557</v>
      </c>
      <c r="I1006" s="1" cm="1">
        <f t="array" ref="I1006">SUMPRODUCT(([1]OUT_FinalEnergyCons!$B$4:$B$10000="Var_Fin")*1, ([1]OUT_FinalEnergyCons!$C$4:$C$10000="RNGA")*1,ISNUMBER(SEARCH("RH*-wHngahp",[1]OUT_FinalEnergyCons!$A$4:$A$10000))*1,[1]OUT_FinalEnergyCons!G$4:G$10000)</f>
        <v>0.78570979532852048</v>
      </c>
      <c r="J1006" s="1" cm="1">
        <f t="array" ref="J1006">SUMPRODUCT(([1]OUT_FinalEnergyCons!$B$4:$B$10000="Var_Fin")*1, ([1]OUT_FinalEnergyCons!$C$4:$C$10000="RNGA")*1,ISNUMBER(SEARCH("RH*-wHngahp",[1]OUT_FinalEnergyCons!$A$4:$A$10000))*1,[1]OUT_FinalEnergyCons!H$4:H$10000)</f>
        <v>1.3229972380521013</v>
      </c>
      <c r="K1006" s="1" cm="1">
        <f t="array" ref="K1006">SUMPRODUCT(([1]OUT_FinalEnergyCons!$B$4:$B$10000="Var_Fin")*1, ([1]OUT_FinalEnergyCons!$C$4:$C$10000="RNGA")*1,ISNUMBER(SEARCH("RH*-wHngahp",[1]OUT_FinalEnergyCons!$A$4:$A$10000))*1,[1]OUT_FinalEnergyCons!I$4:I$10000)</f>
        <v>1.2673075621488377</v>
      </c>
    </row>
    <row r="1007" spans="2:13" x14ac:dyDescent="0.35">
      <c r="B1007" s="5" t="str">
        <f t="shared" si="681"/>
        <v>SPS1</v>
      </c>
      <c r="C1007" s="5" t="str">
        <f t="shared" si="682"/>
        <v>CH</v>
      </c>
      <c r="D1007" t="s">
        <v>1017</v>
      </c>
      <c r="E1007" t="s">
        <v>8</v>
      </c>
      <c r="F1007" s="1">
        <f>SUM(F1008:F1009)</f>
        <v>8.4510070688193224</v>
      </c>
      <c r="G1007" s="1">
        <f t="shared" ref="G1007:K1007" si="692">SUM(G1008:G1009)</f>
        <v>7.0328885068209095</v>
      </c>
      <c r="H1007" s="1">
        <f t="shared" si="692"/>
        <v>10.287188488977604</v>
      </c>
      <c r="I1007" s="1">
        <f t="shared" si="692"/>
        <v>6.6439759026985499</v>
      </c>
      <c r="J1007" s="1">
        <f t="shared" si="692"/>
        <v>3.3584176215136097</v>
      </c>
      <c r="K1007" s="1">
        <f t="shared" si="692"/>
        <v>2.0718774977089964</v>
      </c>
    </row>
    <row r="1008" spans="2:13" x14ac:dyDescent="0.35">
      <c r="B1008" s="5" t="str">
        <f t="shared" si="681"/>
        <v>SPS1</v>
      </c>
      <c r="C1008" s="5" t="str">
        <f t="shared" si="682"/>
        <v>CH</v>
      </c>
      <c r="D1008" t="s">
        <v>718</v>
      </c>
      <c r="E1008" t="s">
        <v>8</v>
      </c>
      <c r="F1008" s="1">
        <f>F1005-F1011</f>
        <v>8.4510070688193224</v>
      </c>
      <c r="G1008" s="1">
        <f t="shared" ref="G1008:K1008" si="693">G1005-G1011</f>
        <v>7.0328885068209095</v>
      </c>
      <c r="H1008" s="1">
        <f t="shared" si="693"/>
        <v>9.844453879250187</v>
      </c>
      <c r="I1008" s="1">
        <f t="shared" si="693"/>
        <v>5.8582684225546391</v>
      </c>
      <c r="J1008" s="1">
        <f t="shared" si="693"/>
        <v>2.0354522398047061</v>
      </c>
      <c r="K1008" s="1">
        <f t="shared" si="693"/>
        <v>0.80459591616327564</v>
      </c>
    </row>
    <row r="1009" spans="2:11" x14ac:dyDescent="0.35">
      <c r="B1009" s="5" t="str">
        <f t="shared" si="681"/>
        <v>SPS1</v>
      </c>
      <c r="C1009" s="5" t="str">
        <f t="shared" si="682"/>
        <v>CH</v>
      </c>
      <c r="D1009" t="s">
        <v>737</v>
      </c>
      <c r="E1009" t="s">
        <v>8</v>
      </c>
      <c r="F1009" s="1">
        <f>F1006-F1012</f>
        <v>0</v>
      </c>
      <c r="G1009" s="1">
        <f t="shared" ref="G1009:K1009" si="694">G1006-G1012</f>
        <v>0</v>
      </c>
      <c r="H1009" s="1">
        <f t="shared" si="694"/>
        <v>0.44273460972741668</v>
      </c>
      <c r="I1009" s="1">
        <f t="shared" si="694"/>
        <v>0.78570748014391056</v>
      </c>
      <c r="J1009" s="1">
        <f t="shared" si="694"/>
        <v>1.3229653817089033</v>
      </c>
      <c r="K1009" s="1">
        <f t="shared" si="694"/>
        <v>1.267281581545721</v>
      </c>
    </row>
    <row r="1010" spans="2:11" x14ac:dyDescent="0.35">
      <c r="B1010" s="5" t="str">
        <f t="shared" si="681"/>
        <v>SPS1</v>
      </c>
      <c r="C1010" s="5" t="str">
        <f t="shared" si="682"/>
        <v>CH</v>
      </c>
      <c r="D1010" t="s">
        <v>1018</v>
      </c>
      <c r="E1010" t="s">
        <v>8</v>
      </c>
      <c r="F1010" s="1">
        <f t="shared" ref="F1010:K1010" si="695">SUM(F1011:F1012)</f>
        <v>5.6269461590716288E-2</v>
      </c>
      <c r="G1010" s="1">
        <f t="shared" si="695"/>
        <v>0.2997835517029096</v>
      </c>
      <c r="H1010" s="1">
        <f t="shared" si="695"/>
        <v>1.0651622246628618E-3</v>
      </c>
      <c r="I1010" s="1">
        <f t="shared" si="695"/>
        <v>1.9577299627701281E-5</v>
      </c>
      <c r="J1010" s="1">
        <f t="shared" si="695"/>
        <v>8.0869012774308698E-5</v>
      </c>
      <c r="K1010" s="1">
        <f t="shared" si="695"/>
        <v>4.2475664254987714E-5</v>
      </c>
    </row>
    <row r="1011" spans="2:11" x14ac:dyDescent="0.35">
      <c r="B1011" s="5" t="str">
        <f t="shared" si="681"/>
        <v>SPS1</v>
      </c>
      <c r="C1011" s="5" t="str">
        <f t="shared" si="682"/>
        <v>CH</v>
      </c>
      <c r="D1011" t="s">
        <v>738</v>
      </c>
      <c r="E1011" t="s">
        <v>8</v>
      </c>
      <c r="F1011" s="1">
        <f>F1005*IFERROR(F$994/F$992,0)</f>
        <v>5.6269461590716288E-2</v>
      </c>
      <c r="G1011" s="1">
        <f t="shared" ref="G1011:K1011" si="696">G1005*IFERROR(G$994/G$992,0)</f>
        <v>0.2997835517029096</v>
      </c>
      <c r="H1011" s="1">
        <f t="shared" si="696"/>
        <v>1.0193203328439468E-3</v>
      </c>
      <c r="I1011" s="1">
        <f t="shared" si="696"/>
        <v>1.7262115017796863E-5</v>
      </c>
      <c r="J1011" s="1">
        <f t="shared" si="696"/>
        <v>4.9012669576238107E-5</v>
      </c>
      <c r="K1011" s="1">
        <f t="shared" si="696"/>
        <v>1.6495061138351943E-5</v>
      </c>
    </row>
    <row r="1012" spans="2:11" x14ac:dyDescent="0.35">
      <c r="B1012" s="5" t="str">
        <f t="shared" si="681"/>
        <v>SPS1</v>
      </c>
      <c r="C1012" s="5" t="str">
        <f t="shared" si="682"/>
        <v>CH</v>
      </c>
      <c r="D1012" t="s">
        <v>739</v>
      </c>
      <c r="E1012" t="s">
        <v>8</v>
      </c>
      <c r="F1012" s="1">
        <f>F1006*IFERROR(F$994/F$992,0)</f>
        <v>0</v>
      </c>
      <c r="G1012" s="1">
        <f t="shared" ref="G1012:K1012" si="697">G1006*IFERROR(G$994/G$992,0)</f>
        <v>0</v>
      </c>
      <c r="H1012" s="1">
        <f t="shared" si="697"/>
        <v>4.5841891818915005E-5</v>
      </c>
      <c r="I1012" s="1">
        <f t="shared" si="697"/>
        <v>2.3151846099044176E-6</v>
      </c>
      <c r="J1012" s="1">
        <f t="shared" si="697"/>
        <v>3.185634319807059E-5</v>
      </c>
      <c r="K1012" s="1">
        <f t="shared" si="697"/>
        <v>2.5980603116635774E-5</v>
      </c>
    </row>
    <row r="1013" spans="2:11" x14ac:dyDescent="0.35">
      <c r="B1013" s="5" t="str">
        <f t="shared" si="681"/>
        <v>SPS1</v>
      </c>
      <c r="C1013" s="5" t="str">
        <f t="shared" si="682"/>
        <v>CH</v>
      </c>
      <c r="D1013" t="s">
        <v>1019</v>
      </c>
      <c r="E1013" t="s">
        <v>8</v>
      </c>
      <c r="F1013" s="1">
        <f>[1]Residential!B$20</f>
        <v>0.10000501841783141</v>
      </c>
      <c r="G1013" s="1">
        <f>[1]Residential!C$20</f>
        <v>0.10000258658397747</v>
      </c>
      <c r="H1013" s="1">
        <f>[1]Residential!D$20</f>
        <v>2.5923439891290635E-2</v>
      </c>
      <c r="I1013" s="1">
        <f>[1]Residential!E$20</f>
        <v>4.6690829257318604E-4</v>
      </c>
      <c r="J1013" s="1">
        <f>[1]Residential!F$20</f>
        <v>0</v>
      </c>
      <c r="K1013" s="1">
        <f>[1]Residential!G$20</f>
        <v>0</v>
      </c>
    </row>
    <row r="1014" spans="2:11" x14ac:dyDescent="0.35">
      <c r="B1014" s="5" t="str">
        <f t="shared" si="681"/>
        <v>SPS1</v>
      </c>
      <c r="C1014" s="5" t="str">
        <f t="shared" si="682"/>
        <v>CH</v>
      </c>
      <c r="D1014" t="s">
        <v>1020</v>
      </c>
      <c r="E1014" t="s">
        <v>8</v>
      </c>
      <c r="F1014" s="1">
        <f>F1013</f>
        <v>0.10000501841783141</v>
      </c>
      <c r="G1014" s="1">
        <f t="shared" ref="G1014:G1015" si="698">G1013</f>
        <v>0.10000258658397747</v>
      </c>
      <c r="H1014" s="1">
        <f t="shared" ref="H1014:H1015" si="699">H1013</f>
        <v>2.5923439891290635E-2</v>
      </c>
      <c r="I1014" s="1">
        <f t="shared" ref="I1014:I1015" si="700">I1013</f>
        <v>4.6690829257318604E-4</v>
      </c>
      <c r="J1014" s="1">
        <f t="shared" ref="J1014:J1015" si="701">J1013</f>
        <v>0</v>
      </c>
      <c r="K1014" s="1">
        <f t="shared" ref="K1014:K1015" si="702">K1013</f>
        <v>0</v>
      </c>
    </row>
    <row r="1015" spans="2:11" x14ac:dyDescent="0.35">
      <c r="B1015" s="5" t="str">
        <f t="shared" si="681"/>
        <v>SPS1</v>
      </c>
      <c r="C1015" s="5" t="str">
        <f t="shared" si="682"/>
        <v>CH</v>
      </c>
      <c r="D1015" t="s">
        <v>764</v>
      </c>
      <c r="E1015" t="s">
        <v>8</v>
      </c>
      <c r="F1015" s="1">
        <f t="shared" ref="F1015" si="703">F1014</f>
        <v>0.10000501841783141</v>
      </c>
      <c r="G1015" s="1">
        <f t="shared" si="698"/>
        <v>0.10000258658397747</v>
      </c>
      <c r="H1015" s="1">
        <f t="shared" si="699"/>
        <v>2.5923439891290635E-2</v>
      </c>
      <c r="I1015" s="1">
        <f t="shared" si="700"/>
        <v>4.6690829257318604E-4</v>
      </c>
      <c r="J1015" s="1">
        <f t="shared" si="701"/>
        <v>0</v>
      </c>
      <c r="K1015" s="1">
        <f t="shared" si="702"/>
        <v>0</v>
      </c>
    </row>
    <row r="1016" spans="2:11" x14ac:dyDescent="0.35">
      <c r="B1016" s="5" t="str">
        <f t="shared" si="681"/>
        <v>SPS1</v>
      </c>
      <c r="C1016" s="5" t="str">
        <f t="shared" si="682"/>
        <v>CH</v>
      </c>
      <c r="D1016" t="s">
        <v>1021</v>
      </c>
      <c r="E1016" t="s">
        <v>8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2:11" x14ac:dyDescent="0.35">
      <c r="B1017" s="5" t="str">
        <f t="shared" si="681"/>
        <v>SPS1</v>
      </c>
      <c r="C1017" s="5" t="str">
        <f t="shared" si="682"/>
        <v>CH</v>
      </c>
      <c r="D1017" t="s">
        <v>765</v>
      </c>
      <c r="E1017" t="s">
        <v>8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2:11" x14ac:dyDescent="0.35">
      <c r="B1018" s="5" t="str">
        <f t="shared" si="681"/>
        <v>SPS1</v>
      </c>
      <c r="C1018" s="5" t="str">
        <f t="shared" si="682"/>
        <v>CH</v>
      </c>
      <c r="D1018" t="s">
        <v>1022</v>
      </c>
      <c r="E1018" t="s">
        <v>8</v>
      </c>
      <c r="F1018" s="1">
        <f>F1019+F1021</f>
        <v>13.723018843470081</v>
      </c>
      <c r="G1018" s="1">
        <f t="shared" ref="G1018:K1018" si="704">G1019+G1021</f>
        <v>13.850754902216551</v>
      </c>
      <c r="H1018" s="1">
        <f t="shared" si="704"/>
        <v>18.514275103191881</v>
      </c>
      <c r="I1018" s="1">
        <f t="shared" si="704"/>
        <v>16.493406458428325</v>
      </c>
      <c r="J1018" s="1">
        <f t="shared" si="704"/>
        <v>12.251259303723884</v>
      </c>
      <c r="K1018" s="1">
        <f t="shared" si="704"/>
        <v>7.7209565351965574</v>
      </c>
    </row>
    <row r="1019" spans="2:11" x14ac:dyDescent="0.35">
      <c r="B1019" s="5" t="str">
        <f t="shared" si="681"/>
        <v>SPS1</v>
      </c>
      <c r="C1019" s="5" t="str">
        <f t="shared" si="682"/>
        <v>CH</v>
      </c>
      <c r="D1019" t="s">
        <v>1023</v>
      </c>
      <c r="E1019" t="s">
        <v>8</v>
      </c>
      <c r="F1019" s="1">
        <f>F1020</f>
        <v>12.682061974759634</v>
      </c>
      <c r="G1019" s="1">
        <f t="shared" ref="G1019:K1019" si="705">G1020</f>
        <v>12.656258406184486</v>
      </c>
      <c r="H1019" s="1">
        <f t="shared" si="705"/>
        <v>15.557505263763305</v>
      </c>
      <c r="I1019" s="1">
        <f t="shared" si="705"/>
        <v>13.618117652716835</v>
      </c>
      <c r="J1019" s="1">
        <f t="shared" si="705"/>
        <v>9.7152127090254154</v>
      </c>
      <c r="K1019" s="1">
        <f t="shared" si="705"/>
        <v>5.8231569849612423</v>
      </c>
    </row>
    <row r="1020" spans="2:11" x14ac:dyDescent="0.35">
      <c r="B1020" s="5" t="str">
        <f t="shared" si="681"/>
        <v>SPS1</v>
      </c>
      <c r="C1020" s="5" t="str">
        <f t="shared" si="682"/>
        <v>CH</v>
      </c>
      <c r="D1020" t="s">
        <v>766</v>
      </c>
      <c r="E1020" t="s">
        <v>8</v>
      </c>
      <c r="F1020" s="1">
        <f>[1]Residential!B$22-F1022-F1023</f>
        <v>12.682061974759634</v>
      </c>
      <c r="G1020" s="1">
        <f>[1]Residential!C$22-G1022-G1023</f>
        <v>12.656258406184486</v>
      </c>
      <c r="H1020" s="1">
        <f>[1]Residential!D$22-H1022-H1023</f>
        <v>15.557505263763305</v>
      </c>
      <c r="I1020" s="1">
        <f>[1]Residential!E$22-I1022-I1023</f>
        <v>13.618117652716835</v>
      </c>
      <c r="J1020" s="1">
        <f>[1]Residential!F$22-J1022-J1023</f>
        <v>9.7152127090254154</v>
      </c>
      <c r="K1020" s="1">
        <f>[1]Residential!G$22-K1022-K1023</f>
        <v>5.8231569849612423</v>
      </c>
    </row>
    <row r="1021" spans="2:11" x14ac:dyDescent="0.35">
      <c r="B1021" s="5" t="str">
        <f t="shared" si="681"/>
        <v>SPS1</v>
      </c>
      <c r="C1021" s="5" t="str">
        <f t="shared" si="682"/>
        <v>CH</v>
      </c>
      <c r="D1021" t="s">
        <v>1024</v>
      </c>
      <c r="E1021" t="s">
        <v>8</v>
      </c>
      <c r="F1021" s="1">
        <f>F1022</f>
        <v>1.0409568687104478</v>
      </c>
      <c r="G1021" s="1">
        <f t="shared" ref="G1021" si="706">G1022</f>
        <v>1.1944964960320645</v>
      </c>
      <c r="H1021" s="1">
        <f t="shared" ref="H1021" si="707">H1022</f>
        <v>2.9567698394285769</v>
      </c>
      <c r="I1021" s="1">
        <f t="shared" ref="I1021" si="708">I1022</f>
        <v>2.8752888057114889</v>
      </c>
      <c r="J1021" s="1">
        <f t="shared" ref="J1021" si="709">J1022</f>
        <v>2.5360465946984689</v>
      </c>
      <c r="K1021" s="1">
        <f t="shared" ref="K1021" si="710">K1022</f>
        <v>1.8977995502353151</v>
      </c>
    </row>
    <row r="1022" spans="2:11" x14ac:dyDescent="0.35">
      <c r="B1022" s="5" t="str">
        <f t="shared" si="681"/>
        <v>SPS1</v>
      </c>
      <c r="C1022" s="5" t="str">
        <f t="shared" si="682"/>
        <v>CH</v>
      </c>
      <c r="D1022" t="s">
        <v>767</v>
      </c>
      <c r="E1022" t="s">
        <v>8</v>
      </c>
      <c r="F1022" s="1" cm="1">
        <f t="array" ref="F1022">SUMPRODUCT(([1]OUT_FinalEnergyCons!$B$4:$B$10000="Var_Fin")*1, ISNUMBER(SEARCH("WOD",[1]OUT_FinalEnergyCons!$C$4:$C$10000))*1,(ISNUMBER(SEARCH("RH*-wHWODBR",[1]OUT_FinalEnergyCons!$A$4:$A$10000)))*1,[1]OUT_FinalEnergyCons!D$4:D$10000)</f>
        <v>1.0409568687104478</v>
      </c>
      <c r="G1022" s="1" cm="1">
        <f t="array" ref="G1022">SUMPRODUCT(([1]OUT_FinalEnergyCons!$B$4:$B$10000="Var_Fin")*1, ISNUMBER(SEARCH("WOD",[1]OUT_FinalEnergyCons!$C$4:$C$10000))*1,(ISNUMBER(SEARCH("RH*-wHWODBR",[1]OUT_FinalEnergyCons!$A$4:$A$10000)))*1,[1]OUT_FinalEnergyCons!E$4:E$10000)</f>
        <v>1.1944964960320645</v>
      </c>
      <c r="H1022" s="1" cm="1">
        <f t="array" ref="H1022">SUMPRODUCT(([1]OUT_FinalEnergyCons!$B$4:$B$10000="Var_Fin")*1, ISNUMBER(SEARCH("WOD",[1]OUT_FinalEnergyCons!$C$4:$C$10000))*1,(ISNUMBER(SEARCH("RH*-wHWODBR",[1]OUT_FinalEnergyCons!$A$4:$A$10000)))*1,[1]OUT_FinalEnergyCons!F$4:F$10000)</f>
        <v>2.9567698394285769</v>
      </c>
      <c r="I1022" s="1" cm="1">
        <f t="array" ref="I1022">SUMPRODUCT(([1]OUT_FinalEnergyCons!$B$4:$B$10000="Var_Fin")*1, ISNUMBER(SEARCH("WOD",[1]OUT_FinalEnergyCons!$C$4:$C$10000))*1,(ISNUMBER(SEARCH("RH*-wHWODBR",[1]OUT_FinalEnergyCons!$A$4:$A$10000)))*1,[1]OUT_FinalEnergyCons!G$4:G$10000)</f>
        <v>2.8752888057114889</v>
      </c>
      <c r="J1022" s="1" cm="1">
        <f t="array" ref="J1022">SUMPRODUCT(([1]OUT_FinalEnergyCons!$B$4:$B$10000="Var_Fin")*1, ISNUMBER(SEARCH("WOD",[1]OUT_FinalEnergyCons!$C$4:$C$10000))*1,(ISNUMBER(SEARCH("RH*-wHWODBR",[1]OUT_FinalEnergyCons!$A$4:$A$10000)))*1,[1]OUT_FinalEnergyCons!H$4:H$10000)</f>
        <v>2.5360465946984689</v>
      </c>
      <c r="K1022" s="1" cm="1">
        <f t="array" ref="K1022">SUMPRODUCT(([1]OUT_FinalEnergyCons!$B$4:$B$10000="Var_Fin")*1, ISNUMBER(SEARCH("WOD",[1]OUT_FinalEnergyCons!$C$4:$C$10000))*1,(ISNUMBER(SEARCH("RH*-wHWODBR",[1]OUT_FinalEnergyCons!$A$4:$A$10000)))*1,[1]OUT_FinalEnergyCons!I$4:I$10000)</f>
        <v>1.8977995502353151</v>
      </c>
    </row>
    <row r="1023" spans="2:11" x14ac:dyDescent="0.35">
      <c r="B1023" s="5" t="str">
        <f t="shared" si="681"/>
        <v>SPS1</v>
      </c>
      <c r="C1023" s="5" t="str">
        <f t="shared" si="682"/>
        <v>CH</v>
      </c>
      <c r="D1023" t="s">
        <v>1025</v>
      </c>
      <c r="E1023" t="s">
        <v>8</v>
      </c>
      <c r="F1023" s="1">
        <f>F1024+F1026</f>
        <v>3.2682401322632635</v>
      </c>
      <c r="G1023" s="1">
        <f t="shared" ref="G1023:K1023" si="711">G1024+G1026</f>
        <v>3.8319995806525049</v>
      </c>
      <c r="H1023" s="1">
        <f t="shared" si="711"/>
        <v>0.91638216592956112</v>
      </c>
      <c r="I1023" s="1">
        <f t="shared" si="711"/>
        <v>1.1898150189432943</v>
      </c>
      <c r="J1023" s="1">
        <f t="shared" si="711"/>
        <v>1.3583696631370441</v>
      </c>
      <c r="K1023" s="1">
        <f t="shared" si="711"/>
        <v>1.1700977040119465</v>
      </c>
    </row>
    <row r="1024" spans="2:11" x14ac:dyDescent="0.35">
      <c r="B1024" s="5" t="str">
        <f t="shared" si="681"/>
        <v>SPS1</v>
      </c>
      <c r="C1024" s="5" t="str">
        <f t="shared" si="682"/>
        <v>CH</v>
      </c>
      <c r="D1024" t="s">
        <v>1026</v>
      </c>
      <c r="E1024" t="s">
        <v>8</v>
      </c>
      <c r="F1024" s="1">
        <f>F1025</f>
        <v>2.9965549393394082</v>
      </c>
      <c r="G1024" s="1">
        <f t="shared" ref="G1024:K1024" si="712">G1025</f>
        <v>3.5202568827103322</v>
      </c>
      <c r="H1024" s="1">
        <f t="shared" si="712"/>
        <v>0.67405934690697866</v>
      </c>
      <c r="I1024" s="1">
        <f t="shared" si="712"/>
        <v>0.85264493553958343</v>
      </c>
      <c r="J1024" s="1">
        <f t="shared" si="712"/>
        <v>0.93162938542775486</v>
      </c>
      <c r="K1024" s="1">
        <f t="shared" si="712"/>
        <v>0.76220171504815415</v>
      </c>
    </row>
    <row r="1025" spans="2:11" x14ac:dyDescent="0.35">
      <c r="B1025" s="5" t="str">
        <f t="shared" si="681"/>
        <v>SPS1</v>
      </c>
      <c r="C1025" s="5" t="str">
        <f t="shared" si="682"/>
        <v>CH</v>
      </c>
      <c r="D1025" t="s">
        <v>768</v>
      </c>
      <c r="E1025" t="s">
        <v>8</v>
      </c>
      <c r="F1025" s="1" cm="1">
        <f t="array" ref="F1025">SUMPRODUCT(([1]OUT_FinalEnergyCons!$B$4:$B$10000="Var_Fin")*1, ISNUMBER(SEARCH("RPLT",[1]OUT_FinalEnergyCons!$C$4:$C$10000))*1,(ISNUMBER(SEARCH("RH*-SHPLTBR",[1]OUT_FinalEnergyCons!$A$4:$A$10000)))*1,[1]OUT_FinalEnergyCons!D$4:D$10000)</f>
        <v>2.9965549393394082</v>
      </c>
      <c r="G1025" s="1" cm="1">
        <f t="array" ref="G1025">SUMPRODUCT(([1]OUT_FinalEnergyCons!$B$4:$B$10000="Var_Fin")*1, ISNUMBER(SEARCH("RPLT",[1]OUT_FinalEnergyCons!$C$4:$C$10000))*1,(ISNUMBER(SEARCH("RH*-SHPLTBR",[1]OUT_FinalEnergyCons!$A$4:$A$10000)))*1,[1]OUT_FinalEnergyCons!E$4:E$10000)</f>
        <v>3.5202568827103322</v>
      </c>
      <c r="H1025" s="1" cm="1">
        <f t="array" ref="H1025">SUMPRODUCT(([1]OUT_FinalEnergyCons!$B$4:$B$10000="Var_Fin")*1, ISNUMBER(SEARCH("RPLT",[1]OUT_FinalEnergyCons!$C$4:$C$10000))*1,(ISNUMBER(SEARCH("RH*-SHPLTBR",[1]OUT_FinalEnergyCons!$A$4:$A$10000)))*1,[1]OUT_FinalEnergyCons!F$4:F$10000)</f>
        <v>0.67405934690697866</v>
      </c>
      <c r="I1025" s="1" cm="1">
        <f t="array" ref="I1025">SUMPRODUCT(([1]OUT_FinalEnergyCons!$B$4:$B$10000="Var_Fin")*1, ISNUMBER(SEARCH("RPLT",[1]OUT_FinalEnergyCons!$C$4:$C$10000))*1,(ISNUMBER(SEARCH("RH*-SHPLTBR",[1]OUT_FinalEnergyCons!$A$4:$A$10000)))*1,[1]OUT_FinalEnergyCons!G$4:G$10000)</f>
        <v>0.85264493553958343</v>
      </c>
      <c r="J1025" s="1" cm="1">
        <f t="array" ref="J1025">SUMPRODUCT(([1]OUT_FinalEnergyCons!$B$4:$B$10000="Var_Fin")*1, ISNUMBER(SEARCH("RPLT",[1]OUT_FinalEnergyCons!$C$4:$C$10000))*1,(ISNUMBER(SEARCH("RH*-SHPLTBR",[1]OUT_FinalEnergyCons!$A$4:$A$10000)))*1,[1]OUT_FinalEnergyCons!H$4:H$10000)</f>
        <v>0.93162938542775486</v>
      </c>
      <c r="K1025" s="1" cm="1">
        <f t="array" ref="K1025">SUMPRODUCT(([1]OUT_FinalEnergyCons!$B$4:$B$10000="Var_Fin")*1, ISNUMBER(SEARCH("RPLT",[1]OUT_FinalEnergyCons!$C$4:$C$10000))*1,(ISNUMBER(SEARCH("RH*-SHPLTBR",[1]OUT_FinalEnergyCons!$A$4:$A$10000)))*1,[1]OUT_FinalEnergyCons!I$4:I$10000)</f>
        <v>0.76220171504815415</v>
      </c>
    </row>
    <row r="1026" spans="2:11" x14ac:dyDescent="0.35">
      <c r="B1026" s="5" t="str">
        <f t="shared" si="681"/>
        <v>SPS1</v>
      </c>
      <c r="C1026" s="5" t="str">
        <f t="shared" si="682"/>
        <v>CH</v>
      </c>
      <c r="D1026" t="s">
        <v>1027</v>
      </c>
      <c r="E1026" t="s">
        <v>8</v>
      </c>
      <c r="F1026" s="1">
        <f>F1027</f>
        <v>0.27168519292385512</v>
      </c>
      <c r="G1026" s="1">
        <f t="shared" ref="G1026:K1026" si="713">G1027</f>
        <v>0.31174269794217269</v>
      </c>
      <c r="H1026" s="1">
        <f t="shared" si="713"/>
        <v>0.24232281902258246</v>
      </c>
      <c r="I1026" s="1">
        <f t="shared" si="713"/>
        <v>0.3371700834037108</v>
      </c>
      <c r="J1026" s="1">
        <f t="shared" si="713"/>
        <v>0.42674027770928935</v>
      </c>
      <c r="K1026" s="1">
        <f t="shared" si="713"/>
        <v>0.40789598896379231</v>
      </c>
    </row>
    <row r="1027" spans="2:11" x14ac:dyDescent="0.35">
      <c r="B1027" s="5" t="str">
        <f t="shared" si="681"/>
        <v>SPS1</v>
      </c>
      <c r="C1027" s="5" t="str">
        <f t="shared" si="682"/>
        <v>CH</v>
      </c>
      <c r="D1027" t="s">
        <v>769</v>
      </c>
      <c r="E1027" t="s">
        <v>8</v>
      </c>
      <c r="F1027" s="1" cm="1">
        <f t="array" ref="F1027">SUMPRODUCT(([1]OUT_FinalEnergyCons!$B$4:$B$10000="Var_Fin")*1, ISNUMBER(SEARCH("PLT",[1]OUT_FinalEnergyCons!$C$4:$C$10000))*1,(ISNUMBER(SEARCH("RH*-wHPLTBR",[1]OUT_FinalEnergyCons!$A$4:$A$10000)))*1,[1]OUT_FinalEnergyCons!D$4:D$10000)</f>
        <v>0.27168519292385512</v>
      </c>
      <c r="G1027" s="1" cm="1">
        <f t="array" ref="G1027">SUMPRODUCT(([1]OUT_FinalEnergyCons!$B$4:$B$10000="Var_Fin")*1, ISNUMBER(SEARCH("PLT",[1]OUT_FinalEnergyCons!$C$4:$C$10000))*1,(ISNUMBER(SEARCH("RH*-wHPLTBR",[1]OUT_FinalEnergyCons!$A$4:$A$10000)))*1,[1]OUT_FinalEnergyCons!E$4:E$10000)</f>
        <v>0.31174269794217269</v>
      </c>
      <c r="H1027" s="1" cm="1">
        <f t="array" ref="H1027">SUMPRODUCT(([1]OUT_FinalEnergyCons!$B$4:$B$10000="Var_Fin")*1, ISNUMBER(SEARCH("PLT",[1]OUT_FinalEnergyCons!$C$4:$C$10000))*1,(ISNUMBER(SEARCH("RH*-wHPLTBR",[1]OUT_FinalEnergyCons!$A$4:$A$10000)))*1,[1]OUT_FinalEnergyCons!F$4:F$10000)</f>
        <v>0.24232281902258246</v>
      </c>
      <c r="I1027" s="1" cm="1">
        <f t="array" ref="I1027">SUMPRODUCT(([1]OUT_FinalEnergyCons!$B$4:$B$10000="Var_Fin")*1, ISNUMBER(SEARCH("PLT",[1]OUT_FinalEnergyCons!$C$4:$C$10000))*1,(ISNUMBER(SEARCH("RH*-wHPLTBR",[1]OUT_FinalEnergyCons!$A$4:$A$10000)))*1,[1]OUT_FinalEnergyCons!G$4:G$10000)</f>
        <v>0.3371700834037108</v>
      </c>
      <c r="J1027" s="1" cm="1">
        <f t="array" ref="J1027">SUMPRODUCT(([1]OUT_FinalEnergyCons!$B$4:$B$10000="Var_Fin")*1, ISNUMBER(SEARCH("PLT",[1]OUT_FinalEnergyCons!$C$4:$C$10000))*1,(ISNUMBER(SEARCH("RH*-wHPLTBR",[1]OUT_FinalEnergyCons!$A$4:$A$10000)))*1,[1]OUT_FinalEnergyCons!H$4:H$10000)</f>
        <v>0.42674027770928935</v>
      </c>
      <c r="K1027" s="1" cm="1">
        <f t="array" ref="K1027">SUMPRODUCT(([1]OUT_FinalEnergyCons!$B$4:$B$10000="Var_Fin")*1, ISNUMBER(SEARCH("PLT",[1]OUT_FinalEnergyCons!$C$4:$C$10000))*1,(ISNUMBER(SEARCH("RH*-wHPLTBR",[1]OUT_FinalEnergyCons!$A$4:$A$10000)))*1,[1]OUT_FinalEnergyCons!I$4:I$10000)</f>
        <v>0.40789598896379231</v>
      </c>
    </row>
    <row r="1028" spans="2:11" x14ac:dyDescent="0.35">
      <c r="B1028" s="5" t="str">
        <f t="shared" si="681"/>
        <v>SPS1</v>
      </c>
      <c r="C1028" s="5" t="str">
        <f t="shared" si="682"/>
        <v>CH</v>
      </c>
      <c r="D1028" t="s">
        <v>1028</v>
      </c>
      <c r="E1028" t="s">
        <v>8</v>
      </c>
      <c r="F1028" s="1">
        <f>[1]Residential!B$23</f>
        <v>2.5068328958922099</v>
      </c>
      <c r="G1028" s="1">
        <f>[1]Residential!C$23</f>
        <v>2.9280661742174225</v>
      </c>
      <c r="H1028" s="1">
        <f>[1]Residential!D$23</f>
        <v>0.98219198359463356</v>
      </c>
      <c r="I1028" s="1">
        <f>[1]Residential!E$23</f>
        <v>1.2944319226481753</v>
      </c>
      <c r="J1028" s="1">
        <f>[1]Residential!F$23</f>
        <v>1.7962624514377206</v>
      </c>
      <c r="K1028" s="1">
        <f>[1]Residential!G$23</f>
        <v>2.0366800159484506</v>
      </c>
    </row>
    <row r="1029" spans="2:11" x14ac:dyDescent="0.35">
      <c r="B1029" s="5" t="str">
        <f t="shared" si="681"/>
        <v>SPS1</v>
      </c>
      <c r="C1029" s="5" t="str">
        <f t="shared" si="682"/>
        <v>CH</v>
      </c>
      <c r="D1029" t="s">
        <v>1029</v>
      </c>
      <c r="E1029" t="s">
        <v>8</v>
      </c>
      <c r="F1029" s="1">
        <f>F1030</f>
        <v>0.78534487123235908</v>
      </c>
      <c r="G1029" s="1">
        <f t="shared" ref="G1029:K1029" si="714">G1030</f>
        <v>0.94131779141630112</v>
      </c>
      <c r="H1029" s="1">
        <f t="shared" si="714"/>
        <v>3.2878036994786884E-2</v>
      </c>
      <c r="I1029" s="1">
        <f t="shared" si="714"/>
        <v>3.9650069623531625E-2</v>
      </c>
      <c r="J1029" s="1">
        <f t="shared" si="714"/>
        <v>4.3622688131976034E-2</v>
      </c>
      <c r="K1029" s="1">
        <f t="shared" si="714"/>
        <v>4.3320702375803335E-2</v>
      </c>
    </row>
    <row r="1030" spans="2:11" x14ac:dyDescent="0.35">
      <c r="B1030" s="5" t="str">
        <f t="shared" si="681"/>
        <v>SPS1</v>
      </c>
      <c r="C1030" s="5" t="str">
        <f t="shared" si="682"/>
        <v>CH</v>
      </c>
      <c r="D1030" t="s">
        <v>742</v>
      </c>
      <c r="E1030" t="s">
        <v>8</v>
      </c>
      <c r="F1030" s="1" cm="1">
        <f t="array" ref="F1030">SUMPRODUCT(([1]OUT_FinalEnergyCons!$B$4:$B$10000="Var_Fin")*1, ("SOL"=[1]OUT_FinalEnergyCons!$C$4:$C$10000)*1,(ISNUMBER(SEARCH("RH*-SHSOLBR",[1]OUT_FinalEnergyCons!$A$4:$A$10000)))*1,[1]OUT_FinalEnergyCons!D$4:D$10000)</f>
        <v>0.78534487123235908</v>
      </c>
      <c r="G1030" s="1" cm="1">
        <f t="array" ref="G1030">SUMPRODUCT(([1]OUT_FinalEnergyCons!$B$4:$B$10000="Var_Fin")*1, ("SOL"=[1]OUT_FinalEnergyCons!$C$4:$C$10000)*1,(ISNUMBER(SEARCH("RH*-SHSOLBR",[1]OUT_FinalEnergyCons!$A$4:$A$10000)))*1,[1]OUT_FinalEnergyCons!E$4:E$10000)</f>
        <v>0.94131779141630112</v>
      </c>
      <c r="H1030" s="1" cm="1">
        <f t="array" ref="H1030">SUMPRODUCT(([1]OUT_FinalEnergyCons!$B$4:$B$10000="Var_Fin")*1, ("SOL"=[1]OUT_FinalEnergyCons!$C$4:$C$10000)*1,(ISNUMBER(SEARCH("RH*-SHSOLBR",[1]OUT_FinalEnergyCons!$A$4:$A$10000)))*1,[1]OUT_FinalEnergyCons!F$4:F$10000)</f>
        <v>3.2878036994786884E-2</v>
      </c>
      <c r="I1030" s="1" cm="1">
        <f t="array" ref="I1030">SUMPRODUCT(([1]OUT_FinalEnergyCons!$B$4:$B$10000="Var_Fin")*1, ("SOL"=[1]OUT_FinalEnergyCons!$C$4:$C$10000)*1,(ISNUMBER(SEARCH("RH*-SHSOLBR",[1]OUT_FinalEnergyCons!$A$4:$A$10000)))*1,[1]OUT_FinalEnergyCons!G$4:G$10000)</f>
        <v>3.9650069623531625E-2</v>
      </c>
      <c r="J1030" s="1" cm="1">
        <f t="array" ref="J1030">SUMPRODUCT(([1]OUT_FinalEnergyCons!$B$4:$B$10000="Var_Fin")*1, ("SOL"=[1]OUT_FinalEnergyCons!$C$4:$C$10000)*1,(ISNUMBER(SEARCH("RH*-SHSOLBR",[1]OUT_FinalEnergyCons!$A$4:$A$10000)))*1,[1]OUT_FinalEnergyCons!H$4:H$10000)</f>
        <v>4.3622688131976034E-2</v>
      </c>
      <c r="K1030" s="1" cm="1">
        <f t="array" ref="K1030">SUMPRODUCT(([1]OUT_FinalEnergyCons!$B$4:$B$10000="Var_Fin")*1, ("SOL"=[1]OUT_FinalEnergyCons!$C$4:$C$10000)*1,(ISNUMBER(SEARCH("RH*-SHSOLBR",[1]OUT_FinalEnergyCons!$A$4:$A$10000)))*1,[1]OUT_FinalEnergyCons!I$4:I$10000)</f>
        <v>4.3320702375803335E-2</v>
      </c>
    </row>
    <row r="1031" spans="2:11" x14ac:dyDescent="0.35">
      <c r="B1031" s="5" t="str">
        <f t="shared" si="681"/>
        <v>SPS1</v>
      </c>
      <c r="C1031" s="5" t="str">
        <f t="shared" si="682"/>
        <v>CH</v>
      </c>
      <c r="D1031" t="s">
        <v>1030</v>
      </c>
      <c r="E1031" t="s">
        <v>8</v>
      </c>
      <c r="F1031" s="1">
        <f>F1028-F1029</f>
        <v>1.721488024659851</v>
      </c>
      <c r="G1031" s="1">
        <f t="shared" ref="G1031:K1031" si="715">G1028-G1029</f>
        <v>1.9867483828011214</v>
      </c>
      <c r="H1031" s="1">
        <f t="shared" si="715"/>
        <v>0.94931394659984669</v>
      </c>
      <c r="I1031" s="1">
        <f t="shared" si="715"/>
        <v>1.2547818530246437</v>
      </c>
      <c r="J1031" s="1">
        <f t="shared" si="715"/>
        <v>1.7526397633057444</v>
      </c>
      <c r="K1031" s="1">
        <f t="shared" si="715"/>
        <v>1.9933593135726473</v>
      </c>
    </row>
    <row r="1032" spans="2:11" x14ac:dyDescent="0.35">
      <c r="B1032" s="5" t="str">
        <f t="shared" si="681"/>
        <v>SPS1</v>
      </c>
      <c r="C1032" s="5" t="str">
        <f t="shared" si="682"/>
        <v>CH</v>
      </c>
      <c r="D1032" t="s">
        <v>743</v>
      </c>
      <c r="E1032" t="s">
        <v>8</v>
      </c>
      <c r="F1032" s="1">
        <f>F1031</f>
        <v>1.721488024659851</v>
      </c>
      <c r="G1032" s="1">
        <f t="shared" ref="G1032:K1032" si="716">G1031</f>
        <v>1.9867483828011214</v>
      </c>
      <c r="H1032" s="1">
        <f t="shared" si="716"/>
        <v>0.94931394659984669</v>
      </c>
      <c r="I1032" s="1">
        <f t="shared" si="716"/>
        <v>1.2547818530246437</v>
      </c>
      <c r="J1032" s="1">
        <f t="shared" si="716"/>
        <v>1.7526397633057444</v>
      </c>
      <c r="K1032" s="1">
        <f t="shared" si="716"/>
        <v>1.9933593135726473</v>
      </c>
    </row>
    <row r="1033" spans="2:11" x14ac:dyDescent="0.35">
      <c r="B1033" s="5" t="str">
        <f t="shared" si="681"/>
        <v>SPS1</v>
      </c>
      <c r="C1033" s="5" t="str">
        <f t="shared" si="682"/>
        <v>CH</v>
      </c>
      <c r="D1033" t="s">
        <v>1031</v>
      </c>
      <c r="E1033" t="s">
        <v>8</v>
      </c>
      <c r="F1033" s="1">
        <f>[1]Residential!B$24</f>
        <v>0</v>
      </c>
      <c r="G1033" s="1">
        <f>[1]Residential!C$24</f>
        <v>0</v>
      </c>
      <c r="H1033" s="1">
        <f>[1]Residential!D$24</f>
        <v>0</v>
      </c>
      <c r="I1033" s="1">
        <f>[1]Residential!E$24</f>
        <v>4.1092080230613158E-4</v>
      </c>
      <c r="J1033" s="1">
        <f>[1]Residential!F$24</f>
        <v>3.4276636886784284E-2</v>
      </c>
      <c r="K1033" s="1">
        <f>[1]Residential!G$24</f>
        <v>2.178586895391256E-2</v>
      </c>
    </row>
    <row r="1034" spans="2:11" x14ac:dyDescent="0.35">
      <c r="B1034" s="5" t="str">
        <f t="shared" si="681"/>
        <v>SPS1</v>
      </c>
      <c r="C1034" s="5" t="str">
        <f t="shared" si="682"/>
        <v>CH</v>
      </c>
      <c r="D1034" t="s">
        <v>745</v>
      </c>
      <c r="E1034" t="str">
        <f>E1033</f>
        <v>PJ/yr.</v>
      </c>
      <c r="F1034" s="1">
        <f>F1033-F1036-F1038</f>
        <v>0</v>
      </c>
      <c r="G1034" s="1">
        <f t="shared" ref="G1034:K1034" si="717">G1033-G1036-G1038</f>
        <v>0</v>
      </c>
      <c r="H1034" s="1">
        <f t="shared" si="717"/>
        <v>0</v>
      </c>
      <c r="I1034" s="1">
        <f t="shared" si="717"/>
        <v>4.1092080230613158E-4</v>
      </c>
      <c r="J1034" s="1">
        <f t="shared" si="717"/>
        <v>3.4276636886784284E-2</v>
      </c>
      <c r="K1034" s="1">
        <f t="shared" si="717"/>
        <v>2.178586895391256E-2</v>
      </c>
    </row>
    <row r="1035" spans="2:11" x14ac:dyDescent="0.35">
      <c r="B1035" s="5" t="str">
        <f t="shared" si="681"/>
        <v>SPS1</v>
      </c>
      <c r="C1035" s="5" t="str">
        <f t="shared" si="682"/>
        <v>CH</v>
      </c>
      <c r="D1035" t="s">
        <v>744</v>
      </c>
      <c r="E1035" t="str">
        <f>E1034</f>
        <v>PJ/yr.</v>
      </c>
      <c r="F1035" s="1">
        <f>F1036+F1038</f>
        <v>0</v>
      </c>
      <c r="G1035" s="1">
        <f t="shared" ref="G1035:K1035" si="718">G1036+G1038</f>
        <v>0</v>
      </c>
      <c r="H1035" s="1">
        <f t="shared" si="718"/>
        <v>0</v>
      </c>
      <c r="I1035" s="1">
        <f t="shared" si="718"/>
        <v>0</v>
      </c>
      <c r="J1035" s="1">
        <f t="shared" si="718"/>
        <v>0</v>
      </c>
      <c r="K1035" s="1">
        <f t="shared" si="718"/>
        <v>0</v>
      </c>
    </row>
    <row r="1036" spans="2:11" x14ac:dyDescent="0.35">
      <c r="B1036" s="5" t="str">
        <f>B1033</f>
        <v>SPS1</v>
      </c>
      <c r="C1036" s="5" t="str">
        <f>C1033</f>
        <v>CH</v>
      </c>
      <c r="D1036" t="s">
        <v>1033</v>
      </c>
      <c r="E1036" t="s">
        <v>8</v>
      </c>
      <c r="F1036" s="1">
        <f>F1037</f>
        <v>0</v>
      </c>
      <c r="G1036" s="1">
        <f t="shared" ref="G1036:K1036" si="719">G1037</f>
        <v>0</v>
      </c>
      <c r="H1036" s="1">
        <f t="shared" si="719"/>
        <v>0</v>
      </c>
      <c r="I1036" s="1">
        <f t="shared" si="719"/>
        <v>0</v>
      </c>
      <c r="J1036" s="1">
        <f t="shared" si="719"/>
        <v>0</v>
      </c>
      <c r="K1036" s="1">
        <f t="shared" si="719"/>
        <v>0</v>
      </c>
    </row>
    <row r="1037" spans="2:11" x14ac:dyDescent="0.35">
      <c r="B1037" s="5" t="str">
        <f t="shared" si="681"/>
        <v>SPS1</v>
      </c>
      <c r="C1037" s="5" t="str">
        <f t="shared" si="682"/>
        <v>CH</v>
      </c>
      <c r="D1037" t="s">
        <v>1032</v>
      </c>
      <c r="E1037" t="s">
        <v>8</v>
      </c>
      <c r="F1037" s="1" cm="1">
        <f t="array" ref="F1037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7" s="1" cm="1">
        <f t="array" ref="G1037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7" s="1" cm="1">
        <f t="array" ref="H1037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7" s="1" cm="1">
        <f t="array" ref="I1037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7" s="1" cm="1">
        <f t="array" ref="J1037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7" s="1" cm="1">
        <f t="array" ref="K1037">SUMPRODUCT(([1]OUT_FinalEnergyCons!$B$4:$B$10000="Var_Fin")*1, ISNUMBER(SEARCH("RSH2",[1]OUT_FinalEnergyCons!$C$4:$C$10000))*1,(ISNUMBER(SEARCH("RH*-SHH2BR",[1]OUT_FinalEnergyCons!$A$4:$A$10000)))*1,[1]OUT_FinalEnergyCons!I$4:I$10000)</f>
        <v>0</v>
      </c>
    </row>
    <row r="1038" spans="2:11" x14ac:dyDescent="0.35">
      <c r="B1038" s="5" t="str">
        <f t="shared" si="681"/>
        <v>SPS1</v>
      </c>
      <c r="C1038" s="5" t="str">
        <f t="shared" si="682"/>
        <v>CH</v>
      </c>
      <c r="D1038" t="s">
        <v>1034</v>
      </c>
      <c r="E1038" t="s">
        <v>8</v>
      </c>
      <c r="F1038" s="1">
        <f>F1039</f>
        <v>0</v>
      </c>
      <c r="G1038" s="1">
        <f t="shared" ref="G1038:K1038" si="720">G1039</f>
        <v>0</v>
      </c>
      <c r="H1038" s="1">
        <f t="shared" si="720"/>
        <v>0</v>
      </c>
      <c r="I1038" s="1">
        <f t="shared" si="720"/>
        <v>0</v>
      </c>
      <c r="J1038" s="1">
        <f t="shared" si="720"/>
        <v>0</v>
      </c>
      <c r="K1038" s="1">
        <f t="shared" si="720"/>
        <v>0</v>
      </c>
    </row>
    <row r="1039" spans="2:11" x14ac:dyDescent="0.35">
      <c r="B1039" s="5" t="str">
        <f t="shared" si="681"/>
        <v>SPS1</v>
      </c>
      <c r="C1039" s="5" t="str">
        <f t="shared" si="682"/>
        <v>CH</v>
      </c>
      <c r="D1039" t="s">
        <v>748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ISNUMBER(SEARCH("RSH2",[1]OUT_FinalEnergyCons!$C$4:$C$10000))*1,(ISNUMBER(SEARCH("RH*-wHH2BR",[1]OUT_FinalEnergyCons!$A$4:$A$10000)))*1,[1]OUT_FinalEnergyCons!I$4:I$10000)</f>
        <v>0</v>
      </c>
    </row>
    <row r="1040" spans="2:11" x14ac:dyDescent="0.35">
      <c r="B1040" s="5" t="str">
        <f t="shared" si="681"/>
        <v>SPS1</v>
      </c>
      <c r="C1040" s="5" t="str">
        <f t="shared" si="682"/>
        <v>CH</v>
      </c>
      <c r="D1040" t="s">
        <v>1035</v>
      </c>
      <c r="E1040" t="s">
        <v>8</v>
      </c>
      <c r="F1040" s="1">
        <f>[1]Residential!B$21</f>
        <v>8.4110454914529935</v>
      </c>
      <c r="G1040" s="1">
        <f>[1]Residential!C$21</f>
        <v>9.730491978996227</v>
      </c>
      <c r="H1040" s="1">
        <f>[1]Residential!D$21</f>
        <v>8.3711922640059306</v>
      </c>
      <c r="I1040" s="1">
        <f>[1]Residential!E$21</f>
        <v>10.254510064312775</v>
      </c>
      <c r="J1040" s="1">
        <f>[1]Residential!F$21</f>
        <v>11.232619596169972</v>
      </c>
      <c r="K1040" s="1">
        <f>[1]Residential!G$21</f>
        <v>10.582599388365816</v>
      </c>
    </row>
    <row r="1041" spans="2:13" x14ac:dyDescent="0.35">
      <c r="B1041" s="5" t="str">
        <f t="shared" si="681"/>
        <v>SPS1</v>
      </c>
      <c r="C1041" s="5" t="str">
        <f t="shared" si="682"/>
        <v>CH</v>
      </c>
      <c r="D1041" t="s">
        <v>1036</v>
      </c>
      <c r="E1041" t="s">
        <v>8</v>
      </c>
      <c r="F1041" s="1">
        <f>SUM(F1042:F1044)</f>
        <v>0.12112726179293501</v>
      </c>
      <c r="G1041" s="1">
        <f t="shared" ref="G1041:K1041" si="721">SUM(G1042:G1044)</f>
        <v>0.18476178513526026</v>
      </c>
      <c r="H1041" s="1">
        <f t="shared" si="721"/>
        <v>0.19185207270885529</v>
      </c>
      <c r="I1041" s="1">
        <f t="shared" si="721"/>
        <v>0.72211553337720191</v>
      </c>
      <c r="J1041" s="1">
        <f t="shared" si="721"/>
        <v>1.3302947630201474</v>
      </c>
      <c r="K1041" s="1">
        <f t="shared" si="721"/>
        <v>0.63453436596236434</v>
      </c>
    </row>
    <row r="1042" spans="2:13" x14ac:dyDescent="0.35">
      <c r="B1042" s="5" t="str">
        <f t="shared" si="681"/>
        <v>SPS1</v>
      </c>
      <c r="C1042" s="5" t="str">
        <f t="shared" si="682"/>
        <v>CH</v>
      </c>
      <c r="D1042" t="s">
        <v>749</v>
      </c>
      <c r="E1042" t="s">
        <v>8</v>
      </c>
      <c r="F1042" s="1">
        <f t="shared" ref="F1042:K1043" si="722">SUM(F242,F244)</f>
        <v>0.11966882376459068</v>
      </c>
      <c r="G1042" s="1">
        <f t="shared" si="722"/>
        <v>0.18384894543457256</v>
      </c>
      <c r="H1042" s="1">
        <f t="shared" si="722"/>
        <v>0.19126801700476517</v>
      </c>
      <c r="I1042" s="1">
        <f t="shared" si="722"/>
        <v>0.71373894020572126</v>
      </c>
      <c r="J1042" s="1">
        <f t="shared" si="722"/>
        <v>0.33540617951943746</v>
      </c>
      <c r="K1042" s="1">
        <f t="shared" si="722"/>
        <v>7.8392466688324228E-4</v>
      </c>
    </row>
    <row r="1043" spans="2:13" x14ac:dyDescent="0.35">
      <c r="B1043" s="5" t="str">
        <f t="shared" si="681"/>
        <v>SPS1</v>
      </c>
      <c r="C1043" s="5" t="str">
        <f t="shared" si="682"/>
        <v>CH</v>
      </c>
      <c r="D1043" t="s">
        <v>750</v>
      </c>
      <c r="E1043" t="s">
        <v>8</v>
      </c>
      <c r="F1043" s="1">
        <f t="shared" si="722"/>
        <v>0</v>
      </c>
      <c r="G1043" s="1">
        <f t="shared" si="722"/>
        <v>0</v>
      </c>
      <c r="H1043" s="1">
        <f t="shared" si="722"/>
        <v>0</v>
      </c>
      <c r="I1043" s="1">
        <f t="shared" si="722"/>
        <v>0</v>
      </c>
      <c r="J1043" s="1">
        <f t="shared" si="722"/>
        <v>0</v>
      </c>
      <c r="K1043" s="1">
        <f t="shared" si="722"/>
        <v>0</v>
      </c>
    </row>
    <row r="1044" spans="2:13" x14ac:dyDescent="0.35">
      <c r="B1044" s="5" t="str">
        <f t="shared" si="681"/>
        <v>SPS1</v>
      </c>
      <c r="C1044" s="5" t="str">
        <f t="shared" si="682"/>
        <v>CH</v>
      </c>
      <c r="D1044" t="s">
        <v>751</v>
      </c>
      <c r="E1044" t="s">
        <v>8</v>
      </c>
      <c r="F1044" s="1">
        <f t="shared" ref="F1044:K1044" si="723">SUM(F283,F284)</f>
        <v>1.4584380283443384E-3</v>
      </c>
      <c r="G1044" s="1">
        <f t="shared" si="723"/>
        <v>9.12839700687689E-4</v>
      </c>
      <c r="H1044" s="1">
        <f t="shared" si="723"/>
        <v>5.840557040901166E-4</v>
      </c>
      <c r="I1044" s="1">
        <f t="shared" si="723"/>
        <v>8.3765931714806664E-3</v>
      </c>
      <c r="J1044" s="1">
        <f t="shared" si="723"/>
        <v>0.99488858350070997</v>
      </c>
      <c r="K1044" s="1">
        <f t="shared" si="723"/>
        <v>0.63375044129548108</v>
      </c>
    </row>
    <row r="1045" spans="2:13" x14ac:dyDescent="0.35">
      <c r="B1045" s="5" t="str">
        <f t="shared" si="681"/>
        <v>SPS1</v>
      </c>
      <c r="C1045" s="5" t="str">
        <f t="shared" si="682"/>
        <v>CH</v>
      </c>
      <c r="D1045" t="s">
        <v>1037</v>
      </c>
      <c r="E1045" t="s">
        <v>8</v>
      </c>
      <c r="F1045" s="1">
        <f>F1040-F1041</f>
        <v>8.2899182296600582</v>
      </c>
      <c r="G1045" s="1">
        <f t="shared" ref="G1045:K1045" si="724">G1040-G1041</f>
        <v>9.5457301938609671</v>
      </c>
      <c r="H1045" s="1">
        <f t="shared" si="724"/>
        <v>8.1793401912970758</v>
      </c>
      <c r="I1045" s="1">
        <f t="shared" si="724"/>
        <v>9.5323945309355729</v>
      </c>
      <c r="J1045" s="1">
        <f t="shared" si="724"/>
        <v>9.9023248331498248</v>
      </c>
      <c r="K1045" s="1">
        <f t="shared" si="724"/>
        <v>9.9480650224034513</v>
      </c>
    </row>
    <row r="1046" spans="2:13" x14ac:dyDescent="0.35">
      <c r="B1046" s="5" t="str">
        <f t="shared" si="681"/>
        <v>SPS1</v>
      </c>
      <c r="C1046" s="5" t="str">
        <f t="shared" si="682"/>
        <v>CH</v>
      </c>
      <c r="D1046" t="s">
        <v>1038</v>
      </c>
      <c r="E1046" t="s">
        <v>8</v>
      </c>
      <c r="F1046" s="1">
        <f>[1]Residential!B$25</f>
        <v>15.195017684062531</v>
      </c>
      <c r="G1046" s="1">
        <f>[1]Residential!C$25</f>
        <v>17.635529344885676</v>
      </c>
      <c r="H1046" s="1">
        <f>[1]Residential!D$25</f>
        <v>26.570283898302648</v>
      </c>
      <c r="I1046" s="1">
        <f>[1]Residential!E$25</f>
        <v>44.852194045367668</v>
      </c>
      <c r="J1046" s="1">
        <f>[1]Residential!F$25</f>
        <v>65.305023204083255</v>
      </c>
      <c r="K1046" s="1">
        <f>[1]Residential!G$25</f>
        <v>69.250931725140731</v>
      </c>
    </row>
    <row r="1047" spans="2:13" x14ac:dyDescent="0.35">
      <c r="B1047" s="5" t="str">
        <f t="shared" si="681"/>
        <v>SPS1</v>
      </c>
      <c r="C1047" s="5" t="str">
        <f t="shared" si="682"/>
        <v>CH</v>
      </c>
      <c r="D1047" t="s">
        <v>1039</v>
      </c>
      <c r="E1047" t="s">
        <v>8</v>
      </c>
      <c r="F1047" s="1">
        <f>F1046-F1050</f>
        <v>13.104008609309586</v>
      </c>
      <c r="G1047" s="1">
        <f t="shared" ref="G1047:K1047" si="725">G1046-G1050</f>
        <v>15.286493527193095</v>
      </c>
      <c r="H1047" s="1">
        <f t="shared" si="725"/>
        <v>23.740848375487477</v>
      </c>
      <c r="I1047" s="1">
        <f t="shared" si="725"/>
        <v>38.888055026212228</v>
      </c>
      <c r="J1047" s="1">
        <f t="shared" si="725"/>
        <v>54.120095416435689</v>
      </c>
      <c r="K1047" s="1">
        <f t="shared" si="725"/>
        <v>55.142217173204585</v>
      </c>
      <c r="M1047" s="1"/>
    </row>
    <row r="1048" spans="2:13" x14ac:dyDescent="0.35">
      <c r="B1048" s="5" t="str">
        <f t="shared" si="681"/>
        <v>SPS1</v>
      </c>
      <c r="C1048" s="5" t="str">
        <f t="shared" si="682"/>
        <v>CH</v>
      </c>
      <c r="D1048" t="s">
        <v>752</v>
      </c>
      <c r="E1048" t="s">
        <v>8</v>
      </c>
      <c r="F1048" s="1">
        <f>F1047-F1049</f>
        <v>13.104008609309586</v>
      </c>
      <c r="G1048" s="1">
        <f t="shared" ref="G1048:K1048" si="726">G1047-G1049</f>
        <v>15.286493527193095</v>
      </c>
      <c r="H1048" s="1">
        <f t="shared" si="726"/>
        <v>21.955249535873776</v>
      </c>
      <c r="I1048" s="1">
        <f t="shared" si="726"/>
        <v>36.03995142803479</v>
      </c>
      <c r="J1048" s="1">
        <f t="shared" si="726"/>
        <v>49.836204310536495</v>
      </c>
      <c r="K1048" s="1">
        <f t="shared" si="726"/>
        <v>50.856357689415177</v>
      </c>
    </row>
    <row r="1049" spans="2:13" x14ac:dyDescent="0.35">
      <c r="B1049" s="5" t="str">
        <f t="shared" si="681"/>
        <v>SPS1</v>
      </c>
      <c r="C1049" s="5" t="str">
        <f t="shared" si="682"/>
        <v>CH</v>
      </c>
      <c r="D1049" t="s">
        <v>753</v>
      </c>
      <c r="E1049" t="s">
        <v>8</v>
      </c>
      <c r="F1049" s="1" cm="1">
        <f t="array" ref="F1049">SUMPRODUCT(([1]OUT_FinalEnergyCons!$B$4:$B$10000="Var_FOut")*1, ISNUMBER(SEARCH("RH*SHANGAH",[1]OUT_FinalEnergyCons!$C$4:$C$10000))*1,ISNUMBER(SEARCH("RH*-SHngahp",[1]OUT_FinalEnergyCons!$A$4:$A$10000))*1,[1]OUT_FinalEnergyCons!D$4:D$10000)-F997</f>
        <v>0</v>
      </c>
      <c r="G1049" s="1" cm="1">
        <f t="array" ref="G1049">SUMPRODUCT(([1]OUT_FinalEnergyCons!$B$4:$B$10000="Var_FOut")*1, ISNUMBER(SEARCH("RH*SHANGAH",[1]OUT_FinalEnergyCons!$C$4:$C$10000))*1,ISNUMBER(SEARCH("RH*-SHngahp",[1]OUT_FinalEnergyCons!$A$4:$A$10000))*1,[1]OUT_FinalEnergyCons!E$4:E$10000)-G997</f>
        <v>0</v>
      </c>
      <c r="H1049" s="1" cm="1">
        <f t="array" ref="H1049">SUMPRODUCT(([1]OUT_FinalEnergyCons!$B$4:$B$10000="Var_FOut")*1, ISNUMBER(SEARCH("RH*SHANGAH",[1]OUT_FinalEnergyCons!$C$4:$C$10000))*1,ISNUMBER(SEARCH("RH*-SHngahp",[1]OUT_FinalEnergyCons!$A$4:$A$10000))*1,[1]OUT_FinalEnergyCons!F$4:F$10000)-H997</f>
        <v>1.785598839613701</v>
      </c>
      <c r="I1049" s="1" cm="1">
        <f t="array" ref="I1049">SUMPRODUCT(([1]OUT_FinalEnergyCons!$B$4:$B$10000="Var_FOut")*1, ISNUMBER(SEARCH("RH*SHANGAH",[1]OUT_FinalEnergyCons!$C$4:$C$10000))*1,ISNUMBER(SEARCH("RH*-SHngahp",[1]OUT_FinalEnergyCons!$A$4:$A$10000))*1,[1]OUT_FinalEnergyCons!G$4:G$10000)-I997</f>
        <v>2.8481035981774365</v>
      </c>
      <c r="J1049" s="1" cm="1">
        <f t="array" ref="J1049">SUMPRODUCT(([1]OUT_FinalEnergyCons!$B$4:$B$10000="Var_FOut")*1, ISNUMBER(SEARCH("RH*SHANGAH",[1]OUT_FinalEnergyCons!$C$4:$C$10000))*1,ISNUMBER(SEARCH("RH*-SHngahp",[1]OUT_FinalEnergyCons!$A$4:$A$10000))*1,[1]OUT_FinalEnergyCons!H$4:H$10000)-J997</f>
        <v>4.2838911058991949</v>
      </c>
      <c r="K1049" s="1" cm="1">
        <f t="array" ref="K1049">SUMPRODUCT(([1]OUT_FinalEnergyCons!$B$4:$B$10000="Var_FOut")*1, ISNUMBER(SEARCH("RH*SHANGAH",[1]OUT_FinalEnergyCons!$C$4:$C$10000))*1,ISNUMBER(SEARCH("RH*-SHngahp",[1]OUT_FinalEnergyCons!$A$4:$A$10000))*1,[1]OUT_FinalEnergyCons!I$4:I$10000)-K997</f>
        <v>4.2858594837894115</v>
      </c>
      <c r="M1049" s="20"/>
    </row>
    <row r="1050" spans="2:13" x14ac:dyDescent="0.35">
      <c r="B1050" s="5" t="str">
        <f t="shared" si="681"/>
        <v>SPS1</v>
      </c>
      <c r="C1050" s="5" t="str">
        <f t="shared" si="682"/>
        <v>CH</v>
      </c>
      <c r="D1050" t="s">
        <v>1040</v>
      </c>
      <c r="E1050" t="s">
        <v>8</v>
      </c>
      <c r="F1050" s="1">
        <f>SUM(F1051:F1052)</f>
        <v>2.0910090747529448</v>
      </c>
      <c r="G1050" s="1">
        <f t="shared" ref="G1050:K1050" si="727">SUM(G1051:G1052)</f>
        <v>2.3490358176925801</v>
      </c>
      <c r="H1050" s="1">
        <f t="shared" si="727"/>
        <v>2.8294355228151722</v>
      </c>
      <c r="I1050" s="1">
        <f t="shared" si="727"/>
        <v>5.9641390191554375</v>
      </c>
      <c r="J1050" s="1">
        <f t="shared" si="727"/>
        <v>11.184927787647563</v>
      </c>
      <c r="K1050" s="1">
        <f t="shared" si="727"/>
        <v>14.108714551936146</v>
      </c>
    </row>
    <row r="1051" spans="2:13" x14ac:dyDescent="0.35">
      <c r="B1051" s="5" t="str">
        <f t="shared" si="681"/>
        <v>SPS1</v>
      </c>
      <c r="C1051" s="5" t="str">
        <f t="shared" si="682"/>
        <v>CH</v>
      </c>
      <c r="D1051" t="s">
        <v>754</v>
      </c>
      <c r="E1051" t="s">
        <v>8</v>
      </c>
      <c r="F1051" s="1" cm="1">
        <f t="array" ref="F1051">SUMPRODUCT(([1]OUT_FinalEnergyCons!$B$4:$B$10000="Var_FOut")*1, ISNUMBER(SEARCH("RHSA-WHAELCH",[1]OUT_FinalEnergyCons!$C$4:$C$10000))*1,(ISNUMBER(SEARCH("RHSA-WHELCHP",[1]OUT_FinalEnergyCons!$A$4:$A$10000)))*1,[1]OUT_FinalEnergyCons!D$4:D$10000)-F977</f>
        <v>2.0910090747529448</v>
      </c>
      <c r="G1051" s="1" cm="1">
        <f t="array" ref="G1051">SUMPRODUCT(([1]OUT_FinalEnergyCons!$B$4:$B$10000="Var_FOut")*1, ISNUMBER(SEARCH("RHSA-WHAELCH",[1]OUT_FinalEnergyCons!$C$4:$C$10000))*1,(ISNUMBER(SEARCH("RHSA-WHELCHP",[1]OUT_FinalEnergyCons!$A$4:$A$10000)))*1,[1]OUT_FinalEnergyCons!E$4:E$10000)-G977</f>
        <v>2.3490358176925801</v>
      </c>
      <c r="H1051" s="1" cm="1">
        <f t="array" ref="H1051">SUMPRODUCT(([1]OUT_FinalEnergyCons!$B$4:$B$10000="Var_FOut")*1, ISNUMBER(SEARCH("RHSA-WHAELCH",[1]OUT_FinalEnergyCons!$C$4:$C$10000))*1,(ISNUMBER(SEARCH("RHSA-WHELCHP",[1]OUT_FinalEnergyCons!$A$4:$A$10000)))*1,[1]OUT_FinalEnergyCons!F$4:F$10000)-H977</f>
        <v>2.3834553593892296</v>
      </c>
      <c r="I1051" s="1" cm="1">
        <f t="array" ref="I1051">SUMPRODUCT(([1]OUT_FinalEnergyCons!$B$4:$B$10000="Var_FOut")*1, ISNUMBER(SEARCH("RHSA-WHAELCH",[1]OUT_FinalEnergyCons!$C$4:$C$10000))*1,(ISNUMBER(SEARCH("RHSA-WHELCHP",[1]OUT_FinalEnergyCons!$A$4:$A$10000)))*1,[1]OUT_FinalEnergyCons!G$4:G$10000)-I977</f>
        <v>4.9419584601046935</v>
      </c>
      <c r="J1051" s="1" cm="1">
        <f t="array" ref="J1051">SUMPRODUCT(([1]OUT_FinalEnergyCons!$B$4:$B$10000="Var_FOut")*1, ISNUMBER(SEARCH("RHSA-WHAELCH",[1]OUT_FinalEnergyCons!$C$4:$C$10000))*1,(ISNUMBER(SEARCH("RHSA-WHELCHP",[1]OUT_FinalEnergyCons!$A$4:$A$10000)))*1,[1]OUT_FinalEnergyCons!H$4:H$10000)-J977</f>
        <v>8.9872474329152467</v>
      </c>
      <c r="K1051" s="1" cm="1">
        <f t="array" ref="K1051">SUMPRODUCT(([1]OUT_FinalEnergyCons!$B$4:$B$10000="Var_FOut")*1, ISNUMBER(SEARCH("RHSA-WHAELCH",[1]OUT_FinalEnergyCons!$C$4:$C$10000))*1,(ISNUMBER(SEARCH("RHSA-WHELCHP",[1]OUT_FinalEnergyCons!$A$4:$A$10000)))*1,[1]OUT_FinalEnergyCons!I$4:I$10000)-K977</f>
        <v>11.322389445392481</v>
      </c>
    </row>
    <row r="1052" spans="2:13" x14ac:dyDescent="0.35">
      <c r="B1052" s="5" t="str">
        <f t="shared" si="681"/>
        <v>SPS1</v>
      </c>
      <c r="C1052" s="5" t="str">
        <f t="shared" si="682"/>
        <v>CH</v>
      </c>
      <c r="D1052" t="s">
        <v>755</v>
      </c>
      <c r="E1052" t="s">
        <v>8</v>
      </c>
      <c r="F1052" s="1" cm="1">
        <f t="array" ref="F1052">SUMPRODUCT(([1]OUT_FinalEnergyCons!$B$4:$B$10000="Var_FOut")*1,ISNUMBER(SEARCH("RHSA-WHangah",[1]OUT_FinalEnergyCons!$C$4:$C$10000))*1,(ISNUMBER(SEARCH("RHSA-WHngahp",[1]OUT_FinalEnergyCons!$A$4:$A$10000)))*1,[1]OUT_FinalEnergyCons!D$4:D$10000)-F1006</f>
        <v>0</v>
      </c>
      <c r="G1052" s="1" cm="1">
        <f t="array" ref="G1052">SUMPRODUCT(([1]OUT_FinalEnergyCons!$B$4:$B$10000="Var_FOut")*1,ISNUMBER(SEARCH("RHSA-WHangah",[1]OUT_FinalEnergyCons!$C$4:$C$10000))*1,(ISNUMBER(SEARCH("RHSA-WHngahp",[1]OUT_FinalEnergyCons!$A$4:$A$10000)))*1,[1]OUT_FinalEnergyCons!E$4:E$10000)-G1006</f>
        <v>0</v>
      </c>
      <c r="H1052" s="1" cm="1">
        <f t="array" ref="H1052">SUMPRODUCT(([1]OUT_FinalEnergyCons!$B$4:$B$10000="Var_FOut")*1,ISNUMBER(SEARCH("RHSA-WHangah",[1]OUT_FinalEnergyCons!$C$4:$C$10000))*1,(ISNUMBER(SEARCH("RHSA-WHngahp",[1]OUT_FinalEnergyCons!$A$4:$A$10000)))*1,[1]OUT_FinalEnergyCons!F$4:F$10000)-H1006</f>
        <v>0.44598016342594277</v>
      </c>
      <c r="I1052" s="1" cm="1">
        <f t="array" ref="I1052">SUMPRODUCT(([1]OUT_FinalEnergyCons!$B$4:$B$10000="Var_FOut")*1,ISNUMBER(SEARCH("RHSA-WHangah",[1]OUT_FinalEnergyCons!$C$4:$C$10000))*1,(ISNUMBER(SEARCH("RHSA-WHngahp",[1]OUT_FinalEnergyCons!$A$4:$A$10000)))*1,[1]OUT_FinalEnergyCons!G$4:G$10000)-I1006</f>
        <v>1.022180559050744</v>
      </c>
      <c r="J1052" s="1" cm="1">
        <f t="array" ref="J1052">SUMPRODUCT(([1]OUT_FinalEnergyCons!$B$4:$B$10000="Var_FOut")*1,ISNUMBER(SEARCH("RHSA-WHangah",[1]OUT_FinalEnergyCons!$C$4:$C$10000))*1,(ISNUMBER(SEARCH("RHSA-WHngahp",[1]OUT_FinalEnergyCons!$A$4:$A$10000)))*1,[1]OUT_FinalEnergyCons!H$4:H$10000)-J1006</f>
        <v>2.1976803547323156</v>
      </c>
      <c r="K1052" s="1" cm="1">
        <f t="array" ref="K1052">SUMPRODUCT(([1]OUT_FinalEnergyCons!$B$4:$B$10000="Var_FOut")*1,ISNUMBER(SEARCH("RHSA-WHangah",[1]OUT_FinalEnergyCons!$C$4:$C$10000))*1,(ISNUMBER(SEARCH("RHSA-WHngahp",[1]OUT_FinalEnergyCons!$A$4:$A$10000)))*1,[1]OUT_FinalEnergyCons!I$4:I$10000)-K1006</f>
        <v>2.7863251065436652</v>
      </c>
    </row>
    <row r="1053" spans="2:13" x14ac:dyDescent="0.35">
      <c r="B1053" s="5" t="str">
        <f t="shared" si="681"/>
        <v>SPS1</v>
      </c>
      <c r="C1053" s="5" t="str">
        <f t="shared" si="682"/>
        <v>CH</v>
      </c>
      <c r="D1053" s="2" t="s">
        <v>756</v>
      </c>
      <c r="E1053" t="s">
        <v>8</v>
      </c>
      <c r="F1053" s="3">
        <f>[1]Residential!B$245</f>
        <v>156.01106909562688</v>
      </c>
      <c r="G1053" s="3">
        <f>[1]Residential!C$245</f>
        <v>162.34045668620792</v>
      </c>
      <c r="H1053" s="3">
        <f>[1]Residential!D$245</f>
        <v>147.46661818758025</v>
      </c>
      <c r="I1053" s="3">
        <f>[1]Residential!E$245</f>
        <v>145.88519924873728</v>
      </c>
      <c r="J1053" s="3">
        <f>[1]Residential!F$245</f>
        <v>146.9588447783471</v>
      </c>
      <c r="K1053" s="3">
        <f>[1]Residential!G$245</f>
        <v>146.02465886223581</v>
      </c>
    </row>
    <row r="1054" spans="2:13" x14ac:dyDescent="0.35">
      <c r="B1054" s="5" t="str">
        <f>B1053</f>
        <v>SPS1</v>
      </c>
      <c r="C1054" s="5" t="str">
        <f>C1053</f>
        <v>CH</v>
      </c>
      <c r="D1054" t="s">
        <v>770</v>
      </c>
      <c r="E1054" t="s">
        <v>8</v>
      </c>
      <c r="F1054" s="1">
        <f>[1]Residential!B$116</f>
        <v>129.0326883725817</v>
      </c>
      <c r="G1054" s="1">
        <f>[1]Residential!C$116</f>
        <v>136.41028627822931</v>
      </c>
      <c r="H1054" s="1">
        <f>[1]Residential!D$116</f>
        <v>125.78764476976006</v>
      </c>
      <c r="I1054" s="1">
        <f>[1]Residential!E$116</f>
        <v>123.71079946602416</v>
      </c>
      <c r="J1054" s="1">
        <f>[1]Residential!F$116</f>
        <v>120.09238754033392</v>
      </c>
      <c r="K1054" s="1">
        <f>[1]Residential!G$116</f>
        <v>117.26626206081977</v>
      </c>
    </row>
    <row r="1055" spans="2:13" x14ac:dyDescent="0.35">
      <c r="B1055" s="5" t="str">
        <f t="shared" ref="B1055:B1105" si="728">B1054</f>
        <v>SPS1</v>
      </c>
      <c r="C1055" s="5" t="str">
        <f t="shared" ref="C1055:C1105" si="729">C1054</f>
        <v>CH</v>
      </c>
      <c r="D1055" t="s">
        <v>1116</v>
      </c>
      <c r="E1055" t="s">
        <v>8</v>
      </c>
      <c r="F1055" s="1">
        <f>SUM(F1056:F1057)</f>
        <v>27.968419618794542</v>
      </c>
      <c r="G1055" s="1">
        <f t="shared" ref="G1055:K1055" si="730">SUM(G1056:G1057)</f>
        <v>29.934897471002838</v>
      </c>
      <c r="H1055" s="1">
        <f t="shared" si="730"/>
        <v>33.825504022701352</v>
      </c>
      <c r="I1055" s="1">
        <f t="shared" si="730"/>
        <v>51.669652603554596</v>
      </c>
      <c r="J1055" s="1">
        <f t="shared" si="730"/>
        <v>68.116853943384996</v>
      </c>
      <c r="K1055" s="1">
        <f t="shared" si="730"/>
        <v>67.397517789225162</v>
      </c>
    </row>
    <row r="1056" spans="2:13" x14ac:dyDescent="0.35">
      <c r="B1056" s="5" t="str">
        <f t="shared" si="728"/>
        <v>SPS1</v>
      </c>
      <c r="C1056" s="5" t="str">
        <f t="shared" si="729"/>
        <v>CH</v>
      </c>
      <c r="D1056" t="s">
        <v>1117</v>
      </c>
      <c r="E1056" t="s">
        <v>8</v>
      </c>
      <c r="F1056" s="1">
        <f>[1]Residential!B$102</f>
        <v>8.90804348294572</v>
      </c>
      <c r="G1056" s="1">
        <f>[1]Residential!C$102</f>
        <v>7.8644571371075509</v>
      </c>
      <c r="H1056" s="1">
        <f>[1]Residential!D$102</f>
        <v>0.82164704595848725</v>
      </c>
      <c r="I1056" s="1">
        <f>[1]Residential!E$102</f>
        <v>0.20429691429404975</v>
      </c>
      <c r="J1056" s="1">
        <f>[1]Residential!F$102</f>
        <v>1.5198973512789591E-2</v>
      </c>
      <c r="K1056" s="1">
        <f>[1]Residential!G$102</f>
        <v>1.1645604382299734E-2</v>
      </c>
    </row>
    <row r="1057" spans="2:11" x14ac:dyDescent="0.35">
      <c r="B1057" s="5" t="str">
        <f t="shared" si="728"/>
        <v>SPS1</v>
      </c>
      <c r="C1057" s="5" t="str">
        <f t="shared" si="729"/>
        <v>CH</v>
      </c>
      <c r="D1057" t="s">
        <v>1118</v>
      </c>
      <c r="E1057" t="s">
        <v>8</v>
      </c>
      <c r="F1057" s="1">
        <f>[1]Residential!B$104</f>
        <v>19.060376135848824</v>
      </c>
      <c r="G1057" s="1">
        <f>[1]Residential!C$104</f>
        <v>22.070440333895288</v>
      </c>
      <c r="H1057" s="1">
        <f>[1]Residential!D$104</f>
        <v>33.003856976742867</v>
      </c>
      <c r="I1057" s="1">
        <f>[1]Residential!E$104</f>
        <v>51.465355689260548</v>
      </c>
      <c r="J1057" s="1">
        <f>[1]Residential!F$104</f>
        <v>68.1016549698722</v>
      </c>
      <c r="K1057" s="1">
        <f>[1]Residential!G$104</f>
        <v>67.385872184842867</v>
      </c>
    </row>
    <row r="1058" spans="2:11" x14ac:dyDescent="0.35">
      <c r="B1058" s="5" t="str">
        <f t="shared" si="728"/>
        <v>SPS1</v>
      </c>
      <c r="C1058" s="5" t="str">
        <f t="shared" si="729"/>
        <v>CH</v>
      </c>
      <c r="D1058" t="s">
        <v>1047</v>
      </c>
      <c r="E1058" t="s">
        <v>8</v>
      </c>
      <c r="F1058" s="1">
        <f>F1059</f>
        <v>45.124415777601264</v>
      </c>
      <c r="G1058" s="1">
        <f t="shared" ref="G1058:K1058" si="731">G1059</f>
        <v>39.010292928253165</v>
      </c>
      <c r="H1058" s="1">
        <f t="shared" si="731"/>
        <v>33.469728055257313</v>
      </c>
      <c r="I1058" s="1">
        <f t="shared" si="731"/>
        <v>16.286833695194048</v>
      </c>
      <c r="J1058" s="1">
        <f t="shared" si="731"/>
        <v>3.1912286898616511</v>
      </c>
      <c r="K1058" s="1">
        <f t="shared" si="731"/>
        <v>0.12950558616606389</v>
      </c>
    </row>
    <row r="1059" spans="2:11" x14ac:dyDescent="0.35">
      <c r="B1059" s="5" t="str">
        <f t="shared" si="728"/>
        <v>SPS1</v>
      </c>
      <c r="C1059" s="5" t="str">
        <f t="shared" si="729"/>
        <v>CH</v>
      </c>
      <c r="D1059" t="s">
        <v>1048</v>
      </c>
      <c r="E1059" t="s">
        <v>8</v>
      </c>
      <c r="F1059" s="1">
        <f>[1]Residential!B$105</f>
        <v>45.124415777601264</v>
      </c>
      <c r="G1059" s="1">
        <f>[1]Residential!C$105</f>
        <v>39.010292928253165</v>
      </c>
      <c r="H1059" s="1">
        <f>[1]Residential!D$105</f>
        <v>33.469728055257313</v>
      </c>
      <c r="I1059" s="1">
        <f>[1]Residential!E$105</f>
        <v>16.286833695194048</v>
      </c>
      <c r="J1059" s="1">
        <f>[1]Residential!F$105</f>
        <v>3.1912286898616511</v>
      </c>
      <c r="K1059" s="1">
        <f>[1]Residential!G$105</f>
        <v>0.12950558616606389</v>
      </c>
    </row>
    <row r="1060" spans="2:11" x14ac:dyDescent="0.35">
      <c r="B1060" s="5" t="str">
        <f t="shared" si="728"/>
        <v>SPS1</v>
      </c>
      <c r="C1060" s="5" t="str">
        <f t="shared" si="729"/>
        <v>CH</v>
      </c>
      <c r="D1060" t="s">
        <v>1049</v>
      </c>
      <c r="E1060" t="s">
        <v>8</v>
      </c>
      <c r="F1060" s="1">
        <f>SUM(F1061:F1062)</f>
        <v>36.569928986588351</v>
      </c>
      <c r="G1060" s="1">
        <f t="shared" ref="G1060:K1060" si="732">SUM(G1061:G1062)</f>
        <v>38.626270625209948</v>
      </c>
      <c r="H1060" s="1">
        <f t="shared" si="732"/>
        <v>35.722144822873013</v>
      </c>
      <c r="I1060" s="1">
        <f t="shared" si="732"/>
        <v>27.898428509313018</v>
      </c>
      <c r="J1060" s="1">
        <f t="shared" si="732"/>
        <v>13.905346522202805</v>
      </c>
      <c r="K1060" s="1">
        <f t="shared" si="732"/>
        <v>10.031214354594793</v>
      </c>
    </row>
    <row r="1061" spans="2:11" x14ac:dyDescent="0.35">
      <c r="B1061" s="5" t="str">
        <f t="shared" si="728"/>
        <v>SPS1</v>
      </c>
      <c r="C1061" s="5" t="str">
        <f t="shared" si="729"/>
        <v>CH</v>
      </c>
      <c r="D1061" t="s">
        <v>1050</v>
      </c>
      <c r="E1061" t="s">
        <v>8</v>
      </c>
      <c r="F1061" s="1">
        <f>[1]Residential!B$106</f>
        <v>36.569928986588351</v>
      </c>
      <c r="G1061" s="1">
        <f>[1]Residential!C$106</f>
        <v>38.626270625209948</v>
      </c>
      <c r="H1061" s="1">
        <f>[1]Residential!D$106</f>
        <v>31.856323094923592</v>
      </c>
      <c r="I1061" s="1">
        <f>[1]Residential!E$106</f>
        <v>22.008385798675178</v>
      </c>
      <c r="J1061" s="1">
        <f>[1]Residential!F$106</f>
        <v>5.4803068926357996</v>
      </c>
      <c r="K1061" s="1">
        <f>[1]Residential!G$106</f>
        <v>1.9543746379621365</v>
      </c>
    </row>
    <row r="1062" spans="2:11" x14ac:dyDescent="0.35">
      <c r="B1062" s="5" t="str">
        <f t="shared" si="728"/>
        <v>SPS1</v>
      </c>
      <c r="C1062" s="5" t="str">
        <f t="shared" si="729"/>
        <v>CH</v>
      </c>
      <c r="D1062" t="s">
        <v>1051</v>
      </c>
      <c r="E1062" t="s">
        <v>8</v>
      </c>
      <c r="F1062" s="1">
        <f>[1]Residential!B$107</f>
        <v>0</v>
      </c>
      <c r="G1062" s="1">
        <f>[1]Residential!C$107</f>
        <v>0</v>
      </c>
      <c r="H1062" s="1">
        <f>[1]Residential!D$107</f>
        <v>3.865821727949422</v>
      </c>
      <c r="I1062" s="1">
        <f>[1]Residential!E$107</f>
        <v>5.8900427106378395</v>
      </c>
      <c r="J1062" s="1">
        <f>[1]Residential!F$107</f>
        <v>8.4250396295670065</v>
      </c>
      <c r="K1062" s="1">
        <f>[1]Residential!G$107</f>
        <v>8.0768397166326569</v>
      </c>
    </row>
    <row r="1063" spans="2:11" x14ac:dyDescent="0.35">
      <c r="B1063" s="5" t="str">
        <f t="shared" si="728"/>
        <v>SPS1</v>
      </c>
      <c r="C1063" s="5" t="str">
        <f t="shared" si="729"/>
        <v>CH</v>
      </c>
      <c r="D1063" t="s">
        <v>1052</v>
      </c>
      <c r="E1063" t="s">
        <v>8</v>
      </c>
      <c r="F1063" s="1">
        <f>F1064</f>
        <v>7.2003613260838595E-2</v>
      </c>
      <c r="G1063" s="1">
        <f t="shared" ref="G1063:K1063" si="733">G1064</f>
        <v>7.2001862340463768E-2</v>
      </c>
      <c r="H1063" s="1">
        <f t="shared" si="733"/>
        <v>2.0720850640439076E-2</v>
      </c>
      <c r="I1063" s="1">
        <f t="shared" si="733"/>
        <v>3.7352663405854872E-4</v>
      </c>
      <c r="J1063" s="1">
        <f t="shared" si="733"/>
        <v>0</v>
      </c>
      <c r="K1063" s="1">
        <f t="shared" si="733"/>
        <v>0</v>
      </c>
    </row>
    <row r="1064" spans="2:11" x14ac:dyDescent="0.35">
      <c r="B1064" s="5" t="str">
        <f t="shared" si="728"/>
        <v>SPS1</v>
      </c>
      <c r="C1064" s="5" t="str">
        <f t="shared" si="729"/>
        <v>CH</v>
      </c>
      <c r="D1064" t="s">
        <v>1053</v>
      </c>
      <c r="E1064" t="s">
        <v>8</v>
      </c>
      <c r="F1064" s="1">
        <f>[1]Residential!B$108</f>
        <v>7.2003613260838595E-2</v>
      </c>
      <c r="G1064" s="1">
        <f>[1]Residential!C$108</f>
        <v>7.2001862340463768E-2</v>
      </c>
      <c r="H1064" s="1">
        <f>[1]Residential!D$108</f>
        <v>2.0720850640439076E-2</v>
      </c>
      <c r="I1064" s="1">
        <f>[1]Residential!E$108</f>
        <v>3.7352663405854872E-4</v>
      </c>
      <c r="J1064" s="1">
        <f>[1]Residential!F$108</f>
        <v>0</v>
      </c>
      <c r="K1064" s="1">
        <f>[1]Residential!G$108</f>
        <v>0</v>
      </c>
    </row>
    <row r="1065" spans="2:11" x14ac:dyDescent="0.35">
      <c r="B1065" s="5" t="str">
        <f t="shared" si="728"/>
        <v>SPS1</v>
      </c>
      <c r="C1065" s="5" t="str">
        <f t="shared" si="729"/>
        <v>CH</v>
      </c>
      <c r="D1065" t="s">
        <v>1054</v>
      </c>
      <c r="E1065" t="s">
        <v>8</v>
      </c>
      <c r="F1065" s="1">
        <f>SUM([1]Residential!B$109:B$110)</f>
        <v>6.6335773065905492</v>
      </c>
      <c r="G1065" s="1">
        <f>SUM([1]Residential!C$109:C$110)</f>
        <v>7.7565760092614111</v>
      </c>
      <c r="H1065" s="1">
        <f>SUM([1]Residential!D$109:D$110)</f>
        <v>5.8993844290785074</v>
      </c>
      <c r="I1065" s="1">
        <f>SUM([1]Residential!E$109:E$110)</f>
        <v>7.0613436490353099</v>
      </c>
      <c r="J1065" s="1">
        <f>SUM([1]Residential!F$109:F$110)</f>
        <v>7.4855410101958348</v>
      </c>
      <c r="K1065" s="1">
        <f>SUM([1]Residential!G$109:G$110)</f>
        <v>6.8357906455124304</v>
      </c>
    </row>
    <row r="1066" spans="2:11" x14ac:dyDescent="0.35">
      <c r="B1066" s="5" t="str">
        <f t="shared" si="728"/>
        <v>SPS1</v>
      </c>
      <c r="C1066" s="5" t="str">
        <f t="shared" si="729"/>
        <v>CH</v>
      </c>
      <c r="D1066" t="s">
        <v>1055</v>
      </c>
      <c r="E1066" t="s">
        <v>8</v>
      </c>
      <c r="F1066" s="1">
        <f>[1]Residential!B$109</f>
        <v>7.8264074884383333E-2</v>
      </c>
      <c r="G1066" s="1">
        <f>[1]Residential!C$109</f>
        <v>6.3526501296205587E-2</v>
      </c>
      <c r="H1066" s="1">
        <f>[1]Residential!D$109</f>
        <v>0</v>
      </c>
      <c r="I1066" s="1">
        <f>[1]Residential!E$109</f>
        <v>0</v>
      </c>
      <c r="J1066" s="1">
        <f>[1]Residential!F$109</f>
        <v>0</v>
      </c>
      <c r="K1066" s="1">
        <f>[1]Residential!G$109</f>
        <v>0</v>
      </c>
    </row>
    <row r="1067" spans="2:11" x14ac:dyDescent="0.35">
      <c r="B1067" s="5" t="str">
        <f t="shared" si="728"/>
        <v>SPS1</v>
      </c>
      <c r="C1067" s="5" t="str">
        <f t="shared" si="729"/>
        <v>CH</v>
      </c>
      <c r="D1067" t="s">
        <v>1056</v>
      </c>
      <c r="E1067" t="s">
        <v>8</v>
      </c>
      <c r="F1067" s="1">
        <f>IFERROR(F$1066/F$1041,0)*F1042</f>
        <v>7.7321732909711283E-2</v>
      </c>
      <c r="G1067" s="1">
        <f t="shared" ref="G1067:K1067" si="734">IFERROR(G$1066/G$1041,0)*G1042</f>
        <v>6.3212640329845513E-2</v>
      </c>
      <c r="H1067" s="1">
        <f t="shared" si="734"/>
        <v>0</v>
      </c>
      <c r="I1067" s="1">
        <f t="shared" si="734"/>
        <v>0</v>
      </c>
      <c r="J1067" s="1">
        <f t="shared" si="734"/>
        <v>0</v>
      </c>
      <c r="K1067" s="1">
        <f t="shared" si="734"/>
        <v>0</v>
      </c>
    </row>
    <row r="1068" spans="2:11" x14ac:dyDescent="0.35">
      <c r="B1068" s="5" t="str">
        <f t="shared" si="728"/>
        <v>SPS1</v>
      </c>
      <c r="C1068" s="5" t="str">
        <f t="shared" si="729"/>
        <v>CH</v>
      </c>
      <c r="D1068" t="s">
        <v>1057</v>
      </c>
      <c r="E1068" t="s">
        <v>8</v>
      </c>
      <c r="F1068" s="1">
        <f t="shared" ref="F1068:K1068" si="735">IFERROR(F$1066/F$1041,0)*F1043</f>
        <v>0</v>
      </c>
      <c r="G1068" s="1">
        <f t="shared" si="735"/>
        <v>0</v>
      </c>
      <c r="H1068" s="1">
        <f t="shared" si="735"/>
        <v>0</v>
      </c>
      <c r="I1068" s="1">
        <f t="shared" si="735"/>
        <v>0</v>
      </c>
      <c r="J1068" s="1">
        <f t="shared" si="735"/>
        <v>0</v>
      </c>
      <c r="K1068" s="1">
        <f t="shared" si="735"/>
        <v>0</v>
      </c>
    </row>
    <row r="1069" spans="2:11" x14ac:dyDescent="0.35">
      <c r="B1069" s="5" t="str">
        <f t="shared" si="728"/>
        <v>SPS1</v>
      </c>
      <c r="C1069" s="5" t="str">
        <f t="shared" si="729"/>
        <v>CH</v>
      </c>
      <c r="D1069" t="s">
        <v>1058</v>
      </c>
      <c r="E1069" t="s">
        <v>8</v>
      </c>
      <c r="F1069" s="1">
        <f t="shared" ref="F1069:K1069" si="736">IFERROR(F$1066/F$1041,0)*F1044</f>
        <v>9.4234197467205788E-4</v>
      </c>
      <c r="G1069" s="1">
        <f t="shared" si="736"/>
        <v>3.1386096636006999E-4</v>
      </c>
      <c r="H1069" s="1">
        <f t="shared" si="736"/>
        <v>0</v>
      </c>
      <c r="I1069" s="1">
        <f t="shared" si="736"/>
        <v>0</v>
      </c>
      <c r="J1069" s="1">
        <f t="shared" si="736"/>
        <v>0</v>
      </c>
      <c r="K1069" s="1">
        <f t="shared" si="736"/>
        <v>0</v>
      </c>
    </row>
    <row r="1070" spans="2:11" x14ac:dyDescent="0.35">
      <c r="B1070" s="5" t="str">
        <f t="shared" si="728"/>
        <v>SPS1</v>
      </c>
      <c r="C1070" s="5" t="str">
        <f t="shared" si="729"/>
        <v>CH</v>
      </c>
      <c r="D1070" t="s">
        <v>1059</v>
      </c>
      <c r="E1070" t="s">
        <v>8</v>
      </c>
      <c r="F1070" s="1">
        <f>F1065-F1066</f>
        <v>6.5553132317061662</v>
      </c>
      <c r="G1070" s="1">
        <f t="shared" ref="G1070:K1070" si="737">G1065-G1066</f>
        <v>7.6930495079652053</v>
      </c>
      <c r="H1070" s="1">
        <f t="shared" si="737"/>
        <v>5.8993844290785074</v>
      </c>
      <c r="I1070" s="1">
        <f t="shared" si="737"/>
        <v>7.0613436490353099</v>
      </c>
      <c r="J1070" s="1">
        <f t="shared" si="737"/>
        <v>7.4855410101958348</v>
      </c>
      <c r="K1070" s="1">
        <f t="shared" si="737"/>
        <v>6.8357906455124304</v>
      </c>
    </row>
    <row r="1071" spans="2:11" x14ac:dyDescent="0.35">
      <c r="B1071" s="5" t="str">
        <f t="shared" si="728"/>
        <v>SPS1</v>
      </c>
      <c r="C1071" s="5" t="str">
        <f t="shared" si="729"/>
        <v>CH</v>
      </c>
      <c r="D1071" t="s">
        <v>1060</v>
      </c>
      <c r="E1071" t="s">
        <v>8</v>
      </c>
      <c r="F1071" s="1">
        <f>F1072</f>
        <v>9.1310846218269361</v>
      </c>
      <c r="G1071" s="1">
        <f t="shared" ref="G1071:K1071" si="738">G1072</f>
        <v>9.1125060524528276</v>
      </c>
      <c r="H1071" s="1">
        <f t="shared" si="738"/>
        <v>11.197562270195986</v>
      </c>
      <c r="I1071" s="1">
        <f t="shared" si="738"/>
        <v>9.8806224010797461</v>
      </c>
      <c r="J1071" s="1">
        <f t="shared" si="738"/>
        <v>7.0891725230336116</v>
      </c>
      <c r="K1071" s="1">
        <f t="shared" si="738"/>
        <v>4.3680382976735697</v>
      </c>
    </row>
    <row r="1072" spans="2:11" x14ac:dyDescent="0.35">
      <c r="B1072" s="5" t="str">
        <f t="shared" si="728"/>
        <v>SPS1</v>
      </c>
      <c r="C1072" s="5" t="str">
        <f t="shared" si="729"/>
        <v>CH</v>
      </c>
      <c r="D1072" t="s">
        <v>1061</v>
      </c>
      <c r="E1072" t="s">
        <v>8</v>
      </c>
      <c r="F1072" s="1">
        <f>[1]Residential!B$111</f>
        <v>9.1310846218269361</v>
      </c>
      <c r="G1072" s="1">
        <f>[1]Residential!C$111</f>
        <v>9.1125060524528276</v>
      </c>
      <c r="H1072" s="1">
        <f>[1]Residential!D$111</f>
        <v>11.197562270195986</v>
      </c>
      <c r="I1072" s="1">
        <f>[1]Residential!E$111</f>
        <v>9.8806224010797461</v>
      </c>
      <c r="J1072" s="1">
        <f>[1]Residential!F$111</f>
        <v>7.0891725230336116</v>
      </c>
      <c r="K1072" s="1">
        <f>[1]Residential!G$111</f>
        <v>4.3680382976735697</v>
      </c>
    </row>
    <row r="1073" spans="2:11" x14ac:dyDescent="0.35">
      <c r="B1073" s="5" t="str">
        <f t="shared" si="728"/>
        <v>SPS1</v>
      </c>
      <c r="C1073" s="5" t="str">
        <f t="shared" si="729"/>
        <v>CH</v>
      </c>
      <c r="D1073" t="s">
        <v>1062</v>
      </c>
      <c r="E1073" t="s">
        <v>8</v>
      </c>
      <c r="F1073" s="1">
        <f>F1074</f>
        <v>2.6968994454054682</v>
      </c>
      <c r="G1073" s="1">
        <f t="shared" ref="G1073:K1073" si="739">G1074</f>
        <v>3.1682311944392971</v>
      </c>
      <c r="H1073" s="1">
        <f t="shared" si="739"/>
        <v>0.49640399804865848</v>
      </c>
      <c r="I1073" s="1">
        <f t="shared" si="739"/>
        <v>0.62953414264532426</v>
      </c>
      <c r="J1073" s="1">
        <f t="shared" si="739"/>
        <v>0.68992094754627875</v>
      </c>
      <c r="K1073" s="1">
        <f t="shared" si="739"/>
        <v>0.5705187045597776</v>
      </c>
    </row>
    <row r="1074" spans="2:11" x14ac:dyDescent="0.35">
      <c r="B1074" s="5" t="str">
        <f t="shared" si="728"/>
        <v>SPS1</v>
      </c>
      <c r="C1074" s="5" t="str">
        <f t="shared" si="729"/>
        <v>CH</v>
      </c>
      <c r="D1074" t="s">
        <v>1063</v>
      </c>
      <c r="E1074" t="s">
        <v>8</v>
      </c>
      <c r="F1074" s="1">
        <f>[1]Residential!B$112</f>
        <v>2.6968994454054682</v>
      </c>
      <c r="G1074" s="1">
        <f>[1]Residential!C$112</f>
        <v>3.1682311944392971</v>
      </c>
      <c r="H1074" s="1">
        <f>[1]Residential!D$112</f>
        <v>0.49640399804865848</v>
      </c>
      <c r="I1074" s="1">
        <f>[1]Residential!E$112</f>
        <v>0.62953414264532426</v>
      </c>
      <c r="J1074" s="1">
        <f>[1]Residential!F$112</f>
        <v>0.68992094754627875</v>
      </c>
      <c r="K1074" s="1">
        <f>[1]Residential!G$112</f>
        <v>0.5705187045597776</v>
      </c>
    </row>
    <row r="1075" spans="2:11" x14ac:dyDescent="0.35">
      <c r="B1075" s="5" t="str">
        <f t="shared" si="728"/>
        <v>SPS1</v>
      </c>
      <c r="C1075" s="5" t="str">
        <f t="shared" si="729"/>
        <v>CH</v>
      </c>
      <c r="D1075" t="s">
        <v>1064</v>
      </c>
      <c r="E1075" t="s">
        <v>8</v>
      </c>
      <c r="F1075" s="1">
        <f>F1076</f>
        <v>0.78534487123235908</v>
      </c>
      <c r="G1075" s="1">
        <f t="shared" ref="G1075:K1075" si="740">G1076</f>
        <v>0.94131779141630112</v>
      </c>
      <c r="H1075" s="1">
        <f t="shared" si="740"/>
        <v>3.2878036994786884E-2</v>
      </c>
      <c r="I1075" s="1">
        <f t="shared" si="740"/>
        <v>3.9650069623531625E-2</v>
      </c>
      <c r="J1075" s="1">
        <f t="shared" si="740"/>
        <v>4.3622688131976027E-2</v>
      </c>
      <c r="K1075" s="1">
        <f t="shared" si="740"/>
        <v>4.3320702375803335E-2</v>
      </c>
    </row>
    <row r="1076" spans="2:11" x14ac:dyDescent="0.35">
      <c r="B1076" s="5" t="str">
        <f t="shared" si="728"/>
        <v>SPS1</v>
      </c>
      <c r="C1076" s="5" t="str">
        <f t="shared" si="729"/>
        <v>CH</v>
      </c>
      <c r="D1076" t="s">
        <v>1065</v>
      </c>
      <c r="E1076" t="s">
        <v>8</v>
      </c>
      <c r="F1076" s="1">
        <f>[1]Residential!B$113</f>
        <v>0.78534487123235908</v>
      </c>
      <c r="G1076" s="1">
        <f>[1]Residential!C$113</f>
        <v>0.94131779141630112</v>
      </c>
      <c r="H1076" s="1">
        <f>[1]Residential!D$113</f>
        <v>3.2878036994786884E-2</v>
      </c>
      <c r="I1076" s="1">
        <f>[1]Residential!E$113</f>
        <v>3.9650069623531625E-2</v>
      </c>
      <c r="J1076" s="1">
        <f>[1]Residential!F$113</f>
        <v>4.3622688131976027E-2</v>
      </c>
      <c r="K1076" s="1">
        <f>[1]Residential!G$113</f>
        <v>4.3320702375803335E-2</v>
      </c>
    </row>
    <row r="1077" spans="2:11" x14ac:dyDescent="0.35">
      <c r="B1077" s="5" t="str">
        <f t="shared" si="728"/>
        <v>SPS1</v>
      </c>
      <c r="C1077" s="5" t="str">
        <f t="shared" si="729"/>
        <v>CH</v>
      </c>
      <c r="D1077" t="s">
        <v>1066</v>
      </c>
      <c r="E1077" t="s">
        <v>8</v>
      </c>
      <c r="F1077" s="1">
        <f>F1078</f>
        <v>0</v>
      </c>
      <c r="G1077" s="1">
        <f t="shared" ref="G1077:K1077" si="741">G1078</f>
        <v>0</v>
      </c>
      <c r="H1077" s="1">
        <f t="shared" si="741"/>
        <v>0</v>
      </c>
      <c r="I1077" s="1">
        <f t="shared" si="741"/>
        <v>0</v>
      </c>
      <c r="J1077" s="1">
        <f t="shared" si="741"/>
        <v>0</v>
      </c>
      <c r="K1077" s="1">
        <f t="shared" si="741"/>
        <v>0</v>
      </c>
    </row>
    <row r="1078" spans="2:11" x14ac:dyDescent="0.35">
      <c r="B1078" s="5" t="str">
        <f t="shared" si="728"/>
        <v>SPS1</v>
      </c>
      <c r="C1078" s="5" t="str">
        <f t="shared" si="729"/>
        <v>CH</v>
      </c>
      <c r="D1078" t="s">
        <v>1067</v>
      </c>
      <c r="E1078" t="s">
        <v>8</v>
      </c>
      <c r="F1078" s="1">
        <f>[1]Residential!B$114</f>
        <v>0</v>
      </c>
      <c r="G1078" s="1">
        <f>[1]Residential!C$114</f>
        <v>0</v>
      </c>
      <c r="H1078" s="1">
        <f>[1]Residential!D$114</f>
        <v>0</v>
      </c>
      <c r="I1078" s="1">
        <f>[1]Residential!E$114</f>
        <v>0</v>
      </c>
      <c r="J1078" s="1">
        <f>[1]Residential!F$114</f>
        <v>0</v>
      </c>
      <c r="K1078" s="1">
        <f>[1]Residential!G$114</f>
        <v>0</v>
      </c>
    </row>
    <row r="1079" spans="2:11" x14ac:dyDescent="0.35">
      <c r="B1079" s="5" t="str">
        <f t="shared" si="728"/>
        <v>SPS1</v>
      </c>
      <c r="C1079" s="5" t="str">
        <f t="shared" si="729"/>
        <v>CH</v>
      </c>
      <c r="D1079" t="s">
        <v>1068</v>
      </c>
      <c r="E1079" t="s">
        <v>8</v>
      </c>
      <c r="F1079" s="1">
        <f>[1]Residential!B$10-[1]Residential!B$223</f>
        <v>5.1014131281392212E-2</v>
      </c>
      <c r="G1079" s="1">
        <f>[1]Residential!C$10-[1]Residential!C$223</f>
        <v>7.7881923438530807</v>
      </c>
      <c r="H1079" s="1">
        <f>[1]Residential!D$10-[1]Residential!D$223</f>
        <v>5.1233182839699785</v>
      </c>
      <c r="I1079" s="1">
        <f>[1]Residential!E$10-[1]Residential!E$223</f>
        <v>10.244360868944515</v>
      </c>
      <c r="J1079" s="1">
        <f>[1]Residential!F$10-[1]Residential!F$223</f>
        <v>19.570701215976772</v>
      </c>
      <c r="K1079" s="1">
        <f>[1]Residential!G$10-[1]Residential!G$223</f>
        <v>27.890355980712169</v>
      </c>
    </row>
    <row r="1080" spans="2:11" x14ac:dyDescent="0.35">
      <c r="B1080" s="5" t="str">
        <f t="shared" si="728"/>
        <v>SPS1</v>
      </c>
      <c r="C1080" s="5" t="str">
        <f t="shared" si="729"/>
        <v>CH</v>
      </c>
      <c r="D1080" t="s">
        <v>1069</v>
      </c>
      <c r="E1080" t="s">
        <v>8</v>
      </c>
      <c r="F1080" s="1">
        <f>[1]Residential!B$224</f>
        <v>26.97838072304517</v>
      </c>
      <c r="G1080" s="1">
        <f>[1]Residential!C$224</f>
        <v>25.930170407978569</v>
      </c>
      <c r="H1080" s="1">
        <f>[1]Residential!D$224</f>
        <v>21.678973417820195</v>
      </c>
      <c r="I1080" s="1">
        <f>[1]Residential!E$224</f>
        <v>22.174399782713134</v>
      </c>
      <c r="J1080" s="1">
        <f>[1]Residential!F$224</f>
        <v>26.866457238013162</v>
      </c>
      <c r="K1080" s="1">
        <f>[1]Residential!G$224</f>
        <v>28.758396801416051</v>
      </c>
    </row>
    <row r="1081" spans="2:11" x14ac:dyDescent="0.35">
      <c r="B1081" s="5" t="str">
        <f t="shared" si="728"/>
        <v>SPS1</v>
      </c>
      <c r="C1081" s="5" t="str">
        <f t="shared" si="729"/>
        <v>CH</v>
      </c>
      <c r="D1081" t="s">
        <v>1119</v>
      </c>
      <c r="E1081" t="s">
        <v>8</v>
      </c>
      <c r="F1081" s="1">
        <f>SUM(F1082:F1083)</f>
        <v>9.8846332517514952</v>
      </c>
      <c r="G1081" s="1">
        <f t="shared" ref="G1081:K1081" si="742">SUM(G1082:G1083)</f>
        <v>10.60418649869365</v>
      </c>
      <c r="H1081" s="1">
        <f t="shared" si="742"/>
        <v>7.8871429331287333</v>
      </c>
      <c r="I1081" s="1">
        <f t="shared" si="742"/>
        <v>11.191993433548587</v>
      </c>
      <c r="J1081" s="1">
        <f t="shared" si="742"/>
        <v>16.83594546699096</v>
      </c>
      <c r="K1081" s="1">
        <f t="shared" si="742"/>
        <v>19.368990955045238</v>
      </c>
    </row>
    <row r="1082" spans="2:11" x14ac:dyDescent="0.35">
      <c r="B1082" s="5" t="str">
        <f t="shared" si="728"/>
        <v>SPS1</v>
      </c>
      <c r="C1082" s="5" t="str">
        <f t="shared" si="729"/>
        <v>CH</v>
      </c>
      <c r="D1082" t="s">
        <v>1120</v>
      </c>
      <c r="E1082" t="s">
        <v>8</v>
      </c>
      <c r="F1082" s="1">
        <f>[1]Residential!B$231-F1056</f>
        <v>6.6447180919694624</v>
      </c>
      <c r="G1082" s="1">
        <f>[1]Residential!C$231-G1056</f>
        <v>6.9687126647400737</v>
      </c>
      <c r="H1082" s="1">
        <f>[1]Residential!D$231-H1056</f>
        <v>2.8128865270081933</v>
      </c>
      <c r="I1082" s="1">
        <f>[1]Residential!E$231-I1056</f>
        <v>1.9847599750928617</v>
      </c>
      <c r="J1082" s="1">
        <f>[1]Residential!F$231-J1056</f>
        <v>1.7203321511334018</v>
      </c>
      <c r="K1082" s="1">
        <f>[1]Residential!G$231-K1056</f>
        <v>1.5633545738851944</v>
      </c>
    </row>
    <row r="1083" spans="2:11" x14ac:dyDescent="0.35">
      <c r="B1083" s="5" t="str">
        <f t="shared" si="728"/>
        <v>SPS1</v>
      </c>
      <c r="C1083" s="5" t="str">
        <f t="shared" si="729"/>
        <v>CH</v>
      </c>
      <c r="D1083" t="s">
        <v>1121</v>
      </c>
      <c r="E1083" t="s">
        <v>8</v>
      </c>
      <c r="F1083" s="1">
        <f>[1]Residential!B$233-F1057</f>
        <v>3.2399151597820328</v>
      </c>
      <c r="G1083" s="1">
        <f>[1]Residential!C$233-G1057</f>
        <v>3.6354738339535757</v>
      </c>
      <c r="H1083" s="1">
        <f>[1]Residential!D$233-H1057</f>
        <v>5.07425640612054</v>
      </c>
      <c r="I1083" s="1">
        <f>[1]Residential!E$233-I1057</f>
        <v>9.2072334584557254</v>
      </c>
      <c r="J1083" s="1">
        <f>[1]Residential!F$233-J1057</f>
        <v>15.115613315857559</v>
      </c>
      <c r="K1083" s="1">
        <f>[1]Residential!G$233-K1057</f>
        <v>17.805636381160042</v>
      </c>
    </row>
    <row r="1084" spans="2:11" x14ac:dyDescent="0.35">
      <c r="B1084" s="5" t="str">
        <f t="shared" si="728"/>
        <v>SPS1</v>
      </c>
      <c r="C1084" s="5" t="str">
        <f t="shared" si="729"/>
        <v>CH</v>
      </c>
      <c r="D1084" t="s">
        <v>1070</v>
      </c>
      <c r="E1084" t="s">
        <v>8</v>
      </c>
      <c r="F1084" s="1">
        <f>F1085</f>
        <v>6.9844643567119462</v>
      </c>
      <c r="G1084" s="1">
        <f t="shared" ref="G1084:K1084" si="743">G1085</f>
        <v>5.5549358545133956</v>
      </c>
      <c r="H1084" s="1">
        <f t="shared" si="743"/>
        <v>4.3868208473985248</v>
      </c>
      <c r="I1084" s="1">
        <f t="shared" si="743"/>
        <v>1.9237938296975443</v>
      </c>
      <c r="J1084" s="1">
        <f t="shared" si="743"/>
        <v>0.56424592633731052</v>
      </c>
      <c r="K1084" s="1">
        <f t="shared" si="743"/>
        <v>1.293670417045692E-2</v>
      </c>
    </row>
    <row r="1085" spans="2:11" x14ac:dyDescent="0.35">
      <c r="B1085" s="5" t="str">
        <f t="shared" si="728"/>
        <v>SPS1</v>
      </c>
      <c r="C1085" s="5" t="str">
        <f t="shared" si="729"/>
        <v>CH</v>
      </c>
      <c r="D1085" t="s">
        <v>1071</v>
      </c>
      <c r="E1085" t="s">
        <v>8</v>
      </c>
      <c r="F1085" s="1">
        <f>[1]Residential!B$234-F1059</f>
        <v>6.9844643567119462</v>
      </c>
      <c r="G1085" s="1">
        <f>[1]Residential!C$234-G1059</f>
        <v>5.5549358545133956</v>
      </c>
      <c r="H1085" s="1">
        <f>[1]Residential!D$234-H1059</f>
        <v>4.3868208473985248</v>
      </c>
      <c r="I1085" s="1">
        <f>[1]Residential!E$234-I1059</f>
        <v>1.9237938296975443</v>
      </c>
      <c r="J1085" s="1">
        <f>[1]Residential!F$234-J1059</f>
        <v>0.56424592633731052</v>
      </c>
      <c r="K1085" s="1">
        <f>[1]Residential!G$234-K1059</f>
        <v>1.293670417045692E-2</v>
      </c>
    </row>
    <row r="1086" spans="2:11" x14ac:dyDescent="0.35">
      <c r="B1086" s="5" t="str">
        <f t="shared" si="728"/>
        <v>SPS1</v>
      </c>
      <c r="C1086" s="5" t="str">
        <f t="shared" si="729"/>
        <v>CH</v>
      </c>
      <c r="D1086" t="s">
        <v>1072</v>
      </c>
      <c r="E1086" t="s">
        <v>8</v>
      </c>
      <c r="F1086" s="1">
        <f>SUM(F1087:F1088)</f>
        <v>6.3804573978075325</v>
      </c>
      <c r="G1086" s="1">
        <f t="shared" ref="G1086:K1086" si="744">SUM(G1087:G1088)</f>
        <v>5.5288347321269526</v>
      </c>
      <c r="H1086" s="1">
        <f t="shared" si="744"/>
        <v>6.0943263586055174</v>
      </c>
      <c r="I1086" s="1">
        <f t="shared" si="744"/>
        <v>5.0385383740464782</v>
      </c>
      <c r="J1086" s="1">
        <f t="shared" si="744"/>
        <v>4.6696347984696835</v>
      </c>
      <c r="K1086" s="1">
        <f t="shared" si="744"/>
        <v>4.512375736563377</v>
      </c>
    </row>
    <row r="1087" spans="2:11" x14ac:dyDescent="0.35">
      <c r="B1087" s="5" t="str">
        <f t="shared" si="728"/>
        <v>SPS1</v>
      </c>
      <c r="C1087" s="5" t="str">
        <f t="shared" si="729"/>
        <v>CH</v>
      </c>
      <c r="D1087" t="s">
        <v>1073</v>
      </c>
      <c r="E1087" t="s">
        <v>8</v>
      </c>
      <c r="F1087" s="1">
        <f>[1]Residential!B$235-F1061</f>
        <v>6.3804573978075325</v>
      </c>
      <c r="G1087" s="1">
        <f>[1]Residential!C$235-G1061</f>
        <v>5.5288347321269526</v>
      </c>
      <c r="H1087" s="1">
        <f>[1]Residential!D$235-H1061</f>
        <v>5.2055657435603386</v>
      </c>
      <c r="I1087" s="1">
        <f>[1]Residential!E$235-I1061</f>
        <v>3.230648019667214</v>
      </c>
      <c r="J1087" s="1">
        <f>[1]Residential!F$235-J1061</f>
        <v>1.1489572056852673</v>
      </c>
      <c r="K1087" s="1">
        <f>[1]Residential!G$235-K1061</f>
        <v>0.45874306787087438</v>
      </c>
    </row>
    <row r="1088" spans="2:11" x14ac:dyDescent="0.35">
      <c r="B1088" s="5" t="str">
        <f t="shared" si="728"/>
        <v>SPS1</v>
      </c>
      <c r="C1088" s="5" t="str">
        <f t="shared" si="729"/>
        <v>CH</v>
      </c>
      <c r="D1088" t="s">
        <v>1074</v>
      </c>
      <c r="E1088" t="s">
        <v>8</v>
      </c>
      <c r="F1088" s="1">
        <f>[1]Residential!B$236-F1062</f>
        <v>0</v>
      </c>
      <c r="G1088" s="1">
        <f>[1]Residential!C$236-G1062</f>
        <v>0</v>
      </c>
      <c r="H1088" s="1">
        <f>[1]Residential!D$236-H1062</f>
        <v>0.88876061504517878</v>
      </c>
      <c r="I1088" s="1">
        <f>[1]Residential!E$236-I1062</f>
        <v>1.8078903543792642</v>
      </c>
      <c r="J1088" s="1">
        <f>[1]Residential!F$236-J1062</f>
        <v>3.5206775927844163</v>
      </c>
      <c r="K1088" s="1">
        <f>[1]Residential!G$236-K1062</f>
        <v>4.0536326686925026</v>
      </c>
    </row>
    <row r="1089" spans="2:11" x14ac:dyDescent="0.35">
      <c r="B1089" s="5" t="str">
        <f t="shared" si="728"/>
        <v>SPS1</v>
      </c>
      <c r="C1089" s="5" t="str">
        <f t="shared" si="729"/>
        <v>CH</v>
      </c>
      <c r="D1089" t="s">
        <v>1075</v>
      </c>
      <c r="E1089" t="s">
        <v>8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2:11" x14ac:dyDescent="0.35">
      <c r="B1090" s="5" t="str">
        <f t="shared" si="728"/>
        <v>SPS1</v>
      </c>
      <c r="C1090" s="5" t="str">
        <f t="shared" si="729"/>
        <v>CH</v>
      </c>
      <c r="D1090" t="s">
        <v>1076</v>
      </c>
      <c r="E1090" t="s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2:11" x14ac:dyDescent="0.35">
      <c r="B1091" s="5" t="str">
        <f t="shared" si="728"/>
        <v>SPS1</v>
      </c>
      <c r="C1091" s="5" t="str">
        <f t="shared" si="729"/>
        <v>CH</v>
      </c>
      <c r="D1091" t="s">
        <v>1077</v>
      </c>
      <c r="E1091" t="s">
        <v>8</v>
      </c>
      <c r="F1091" s="1">
        <f>SUM(F1092,F1096)</f>
        <v>1.3170560121817134</v>
      </c>
      <c r="G1091" s="1">
        <f t="shared" ref="G1091:K1091" si="745">SUM(G1092,G1096)</f>
        <v>1.4633775056135612</v>
      </c>
      <c r="H1091" s="1">
        <f t="shared" si="745"/>
        <v>0.9538390419638203</v>
      </c>
      <c r="I1091" s="1">
        <f t="shared" si="745"/>
        <v>1.3089737337761722</v>
      </c>
      <c r="J1091" s="1">
        <f t="shared" si="745"/>
        <v>1.6375873685049331</v>
      </c>
      <c r="K1091" s="1">
        <f t="shared" si="745"/>
        <v>1.7232806179130034</v>
      </c>
    </row>
    <row r="1092" spans="2:11" x14ac:dyDescent="0.35">
      <c r="B1092" s="5" t="str">
        <f t="shared" si="728"/>
        <v>SPS1</v>
      </c>
      <c r="C1092" s="5" t="str">
        <f t="shared" si="729"/>
        <v>CH</v>
      </c>
      <c r="D1092" t="s">
        <v>1078</v>
      </c>
      <c r="E1092" t="s">
        <v>8</v>
      </c>
      <c r="F1092" s="1">
        <f>[1]Residential!B$238-F1066</f>
        <v>1.5538851150782143E-2</v>
      </c>
      <c r="G1092" s="1">
        <f>[1]Residential!C$238-G1066</f>
        <v>1.1985088896982257E-2</v>
      </c>
      <c r="H1092" s="1">
        <f>[1]Residential!D$238-H1066</f>
        <v>0</v>
      </c>
      <c r="I1092" s="1">
        <f>[1]Residential!E$238-I1066</f>
        <v>0</v>
      </c>
      <c r="J1092" s="1">
        <f>[1]Residential!F$238-J1066</f>
        <v>0</v>
      </c>
      <c r="K1092" s="1">
        <f>[1]Residential!G$238-K1066</f>
        <v>0</v>
      </c>
    </row>
    <row r="1093" spans="2:11" x14ac:dyDescent="0.35">
      <c r="B1093" s="5" t="str">
        <f t="shared" si="728"/>
        <v>SPS1</v>
      </c>
      <c r="C1093" s="5" t="str">
        <f t="shared" si="729"/>
        <v>CH</v>
      </c>
      <c r="D1093" t="s">
        <v>1079</v>
      </c>
      <c r="E1093" t="s">
        <v>8</v>
      </c>
      <c r="F1093" s="1">
        <f>IFERROR(F$1092/F$1041,0)*F1042</f>
        <v>1.5351754942219086E-2</v>
      </c>
      <c r="G1093" s="1">
        <f t="shared" ref="G1093:K1095" si="746">IFERROR(G$1092/G$1041,0)*G1042</f>
        <v>1.1925875001893358E-2</v>
      </c>
      <c r="H1093" s="1">
        <f t="shared" si="746"/>
        <v>0</v>
      </c>
      <c r="I1093" s="1">
        <f t="shared" si="746"/>
        <v>0</v>
      </c>
      <c r="J1093" s="1">
        <f t="shared" si="746"/>
        <v>0</v>
      </c>
      <c r="K1093" s="1">
        <f t="shared" si="746"/>
        <v>0</v>
      </c>
    </row>
    <row r="1094" spans="2:11" x14ac:dyDescent="0.35">
      <c r="B1094" s="5" t="str">
        <f t="shared" si="728"/>
        <v>SPS1</v>
      </c>
      <c r="C1094" s="5" t="str">
        <f t="shared" si="729"/>
        <v>CH</v>
      </c>
      <c r="D1094" t="s">
        <v>1080</v>
      </c>
      <c r="E1094" t="s">
        <v>8</v>
      </c>
      <c r="F1094" s="1">
        <f>IFERROR(F$1092/F$1041,0)*F1043</f>
        <v>0</v>
      </c>
      <c r="G1094" s="1">
        <f t="shared" si="746"/>
        <v>0</v>
      </c>
      <c r="H1094" s="1">
        <f t="shared" si="746"/>
        <v>0</v>
      </c>
      <c r="I1094" s="1">
        <f t="shared" si="746"/>
        <v>0</v>
      </c>
      <c r="J1094" s="1">
        <f t="shared" si="746"/>
        <v>0</v>
      </c>
      <c r="K1094" s="1">
        <f t="shared" si="746"/>
        <v>0</v>
      </c>
    </row>
    <row r="1095" spans="2:11" x14ac:dyDescent="0.35">
      <c r="B1095" s="5" t="str">
        <f t="shared" si="728"/>
        <v>SPS1</v>
      </c>
      <c r="C1095" s="5" t="str">
        <f t="shared" si="729"/>
        <v>CH</v>
      </c>
      <c r="D1095" t="s">
        <v>1081</v>
      </c>
      <c r="E1095" t="s">
        <v>8</v>
      </c>
      <c r="F1095" s="1">
        <f>IFERROR(F$1092/F$1041,0)*F1044</f>
        <v>1.8709620856305608E-4</v>
      </c>
      <c r="G1095" s="1">
        <f t="shared" si="746"/>
        <v>5.9213895088896987E-5</v>
      </c>
      <c r="H1095" s="1">
        <f t="shared" si="746"/>
        <v>0</v>
      </c>
      <c r="I1095" s="1">
        <f t="shared" si="746"/>
        <v>0</v>
      </c>
      <c r="J1095" s="1">
        <f t="shared" si="746"/>
        <v>0</v>
      </c>
      <c r="K1095" s="1">
        <f t="shared" si="746"/>
        <v>0</v>
      </c>
    </row>
    <row r="1096" spans="2:11" x14ac:dyDescent="0.35">
      <c r="B1096" s="5" t="str">
        <f t="shared" si="728"/>
        <v>SPS1</v>
      </c>
      <c r="C1096" s="5" t="str">
        <f t="shared" si="729"/>
        <v>CH</v>
      </c>
      <c r="D1096" t="s">
        <v>1082</v>
      </c>
      <c r="E1096" t="s">
        <v>8</v>
      </c>
      <c r="F1096" s="1">
        <f>[1]Residential!B$239-F1070</f>
        <v>1.3015171610309313</v>
      </c>
      <c r="G1096" s="1">
        <f>[1]Residential!C$239-G1070</f>
        <v>1.4513924167165788</v>
      </c>
      <c r="H1096" s="1">
        <f>[1]Residential!D$239-H1070</f>
        <v>0.9538390419638203</v>
      </c>
      <c r="I1096" s="1">
        <f>[1]Residential!E$239-I1070</f>
        <v>1.3089737337761722</v>
      </c>
      <c r="J1096" s="1">
        <f>[1]Residential!F$239-J1070</f>
        <v>1.6375873685049331</v>
      </c>
      <c r="K1096" s="1">
        <f>[1]Residential!G$239-K1070</f>
        <v>1.7232806179130034</v>
      </c>
    </row>
    <row r="1097" spans="2:11" x14ac:dyDescent="0.35">
      <c r="B1097" s="5" t="str">
        <f t="shared" si="728"/>
        <v>SPS1</v>
      </c>
      <c r="C1097" s="5" t="str">
        <f t="shared" si="729"/>
        <v>CH</v>
      </c>
      <c r="D1097" t="s">
        <v>1083</v>
      </c>
      <c r="E1097" t="s">
        <v>8</v>
      </c>
      <c r="F1097" s="1">
        <f>F1098</f>
        <v>0.52047843435522445</v>
      </c>
      <c r="G1097" s="1">
        <f t="shared" ref="G1097:K1097" si="747">G1098</f>
        <v>0.59724824801603305</v>
      </c>
      <c r="H1097" s="1">
        <f t="shared" si="747"/>
        <v>1.2970017564319036</v>
      </c>
      <c r="I1097" s="1">
        <f t="shared" si="747"/>
        <v>1.2992288135554606</v>
      </c>
      <c r="J1097" s="1">
        <f t="shared" si="747"/>
        <v>1.2011281854961444</v>
      </c>
      <c r="K1097" s="1">
        <f t="shared" si="747"/>
        <v>0.94484047757353729</v>
      </c>
    </row>
    <row r="1098" spans="2:11" x14ac:dyDescent="0.35">
      <c r="B1098" s="5" t="str">
        <f t="shared" si="728"/>
        <v>SPS1</v>
      </c>
      <c r="C1098" s="5" t="str">
        <f t="shared" si="729"/>
        <v>CH</v>
      </c>
      <c r="D1098" t="s">
        <v>1084</v>
      </c>
      <c r="E1098" t="s">
        <v>8</v>
      </c>
      <c r="F1098" s="1">
        <f>[1]Residential!B$240-F1072</f>
        <v>0.52047843435522445</v>
      </c>
      <c r="G1098" s="1">
        <f>[1]Residential!C$240-G1072</f>
        <v>0.59724824801603305</v>
      </c>
      <c r="H1098" s="1">
        <f>[1]Residential!D$240-H1072</f>
        <v>1.2970017564319036</v>
      </c>
      <c r="I1098" s="1">
        <f>[1]Residential!E$240-I1072</f>
        <v>1.2992288135554606</v>
      </c>
      <c r="J1098" s="1">
        <f>[1]Residential!F$240-J1072</f>
        <v>1.2011281854961444</v>
      </c>
      <c r="K1098" s="1">
        <f>[1]Residential!G$240-K1072</f>
        <v>0.94484047757353729</v>
      </c>
    </row>
    <row r="1099" spans="2:11" x14ac:dyDescent="0.35">
      <c r="B1099" s="5" t="str">
        <f t="shared" si="728"/>
        <v>SPS1</v>
      </c>
      <c r="C1099" s="5" t="str">
        <f t="shared" si="729"/>
        <v>CH</v>
      </c>
      <c r="D1099" t="s">
        <v>1085</v>
      </c>
      <c r="E1099" t="s">
        <v>8</v>
      </c>
      <c r="F1099" s="1">
        <f>F1100</f>
        <v>0.16980324557740945</v>
      </c>
      <c r="G1099" s="1">
        <f t="shared" ref="G1099" si="748">G1100</f>
        <v>0.1948391862138581</v>
      </c>
      <c r="H1099" s="1">
        <f t="shared" ref="H1099" si="749">H1100</f>
        <v>0.11052853369184718</v>
      </c>
      <c r="I1099" s="1">
        <f t="shared" ref="I1099" si="750">I1100</f>
        <v>0.15708974506424567</v>
      </c>
      <c r="J1099" s="1">
        <f t="shared" ref="J1099" si="751">J1100</f>
        <v>0.20527572890837975</v>
      </c>
      <c r="K1099" s="1">
        <f t="shared" ref="K1099" si="752">K1100</f>
        <v>0.20261299657778753</v>
      </c>
    </row>
    <row r="1100" spans="2:11" x14ac:dyDescent="0.35">
      <c r="B1100" s="5" t="str">
        <f t="shared" si="728"/>
        <v>SPS1</v>
      </c>
      <c r="C1100" s="5" t="str">
        <f t="shared" si="729"/>
        <v>CH</v>
      </c>
      <c r="D1100" t="s">
        <v>1086</v>
      </c>
      <c r="E1100" t="s">
        <v>8</v>
      </c>
      <c r="F1100" s="1">
        <f>[1]Residential!B$241-F1074</f>
        <v>0.16980324557740945</v>
      </c>
      <c r="G1100" s="1">
        <f>[1]Residential!C$241-G1074</f>
        <v>0.1948391862138581</v>
      </c>
      <c r="H1100" s="1">
        <f>[1]Residential!D$241-H1074</f>
        <v>0.11052853369184718</v>
      </c>
      <c r="I1100" s="1">
        <f>[1]Residential!E$241-I1074</f>
        <v>0.15708974506424567</v>
      </c>
      <c r="J1100" s="1">
        <f>[1]Residential!F$241-J1074</f>
        <v>0.20527572890837975</v>
      </c>
      <c r="K1100" s="1">
        <f>[1]Residential!G$241-K1074</f>
        <v>0.20261299657778753</v>
      </c>
    </row>
    <row r="1101" spans="2:11" x14ac:dyDescent="0.35">
      <c r="B1101" s="5" t="str">
        <f t="shared" si="728"/>
        <v>SPS1</v>
      </c>
      <c r="C1101" s="5" t="str">
        <f t="shared" si="729"/>
        <v>CH</v>
      </c>
      <c r="D1101" t="s">
        <v>1087</v>
      </c>
      <c r="E1101" t="s">
        <v>8</v>
      </c>
      <c r="F1101" s="1">
        <f>F1102</f>
        <v>1.721488024659851</v>
      </c>
      <c r="G1101" s="1">
        <f t="shared" ref="G1101" si="753">G1102</f>
        <v>1.9867483828011214</v>
      </c>
      <c r="H1101" s="1">
        <f t="shared" ref="H1101" si="754">H1102</f>
        <v>0.94931394659984669</v>
      </c>
      <c r="I1101" s="1">
        <f t="shared" ref="I1101" si="755">I1102</f>
        <v>1.2547818530246437</v>
      </c>
      <c r="J1101" s="1">
        <f t="shared" ref="J1101" si="756">J1102</f>
        <v>1.7526397633057444</v>
      </c>
      <c r="K1101" s="1">
        <f t="shared" ref="K1101" si="757">K1102</f>
        <v>1.9933593135726473</v>
      </c>
    </row>
    <row r="1102" spans="2:11" x14ac:dyDescent="0.35">
      <c r="B1102" s="5" t="str">
        <f t="shared" si="728"/>
        <v>SPS1</v>
      </c>
      <c r="C1102" s="5" t="str">
        <f t="shared" si="729"/>
        <v>CH</v>
      </c>
      <c r="D1102" t="s">
        <v>1088</v>
      </c>
      <c r="E1102" t="s">
        <v>8</v>
      </c>
      <c r="F1102" s="1">
        <f>[1]Residential!B$242-F1076</f>
        <v>1.721488024659851</v>
      </c>
      <c r="G1102" s="1">
        <f>[1]Residential!C$242-G1076</f>
        <v>1.9867483828011214</v>
      </c>
      <c r="H1102" s="1">
        <f>[1]Residential!D$242-H1076</f>
        <v>0.94931394659984669</v>
      </c>
      <c r="I1102" s="1">
        <f>[1]Residential!E$242-I1076</f>
        <v>1.2547818530246437</v>
      </c>
      <c r="J1102" s="1">
        <f>[1]Residential!F$242-J1076</f>
        <v>1.7526397633057444</v>
      </c>
      <c r="K1102" s="1">
        <f>[1]Residential!G$242-K1076</f>
        <v>1.9933593135726473</v>
      </c>
    </row>
    <row r="1103" spans="2:11" x14ac:dyDescent="0.35">
      <c r="B1103" s="5" t="str">
        <f t="shared" si="728"/>
        <v>SPS1</v>
      </c>
      <c r="C1103" s="5" t="str">
        <f t="shared" si="729"/>
        <v>CH</v>
      </c>
      <c r="D1103" t="s">
        <v>1089</v>
      </c>
      <c r="E1103" t="s">
        <v>8</v>
      </c>
      <c r="F1103" s="1">
        <f>F1104</f>
        <v>0</v>
      </c>
      <c r="G1103" s="1">
        <f t="shared" ref="G1103" si="758">G1104</f>
        <v>0</v>
      </c>
      <c r="H1103" s="1">
        <f t="shared" ref="H1103" si="759">H1104</f>
        <v>0</v>
      </c>
      <c r="I1103" s="1">
        <f t="shared" ref="I1103" si="760">I1104</f>
        <v>0</v>
      </c>
      <c r="J1103" s="1">
        <f t="shared" ref="J1103" si="761">J1104</f>
        <v>0</v>
      </c>
      <c r="K1103" s="1">
        <f t="shared" ref="K1103" si="762">K1104</f>
        <v>0</v>
      </c>
    </row>
    <row r="1104" spans="2:11" x14ac:dyDescent="0.35">
      <c r="B1104" s="5" t="str">
        <f t="shared" si="728"/>
        <v>SPS1</v>
      </c>
      <c r="C1104" s="5" t="str">
        <f t="shared" si="729"/>
        <v>CH</v>
      </c>
      <c r="D1104" t="s">
        <v>1090</v>
      </c>
      <c r="E1104" t="s">
        <v>8</v>
      </c>
      <c r="F1104" s="1">
        <f>[1]Residential!B$243-F1078</f>
        <v>0</v>
      </c>
      <c r="G1104" s="1">
        <f>[1]Residential!C$243-G1078</f>
        <v>0</v>
      </c>
      <c r="H1104" s="1">
        <f>[1]Residential!D$243-H1078</f>
        <v>0</v>
      </c>
      <c r="I1104" s="1">
        <f>[1]Residential!E$243-I1078</f>
        <v>0</v>
      </c>
      <c r="J1104" s="1">
        <f>[1]Residential!F$243-J1078</f>
        <v>0</v>
      </c>
      <c r="K1104" s="1">
        <f>[1]Residential!G$243-K1078</f>
        <v>0</v>
      </c>
    </row>
    <row r="1105" spans="2:11" x14ac:dyDescent="0.35">
      <c r="B1105" s="5" t="str">
        <f t="shared" si="728"/>
        <v>SPS1</v>
      </c>
      <c r="C1105" s="5" t="str">
        <f t="shared" si="729"/>
        <v>CH</v>
      </c>
      <c r="D1105" t="s">
        <v>1091</v>
      </c>
      <c r="E1105" t="s">
        <v>8</v>
      </c>
      <c r="F1105" s="1">
        <f>[1]Residential!B$244-F1079</f>
        <v>0</v>
      </c>
      <c r="G1105" s="1">
        <f>[1]Residential!C$244-G1079</f>
        <v>0</v>
      </c>
      <c r="H1105" s="1">
        <f>[1]Residential!D$244-H1079</f>
        <v>0</v>
      </c>
      <c r="I1105" s="1">
        <f>[1]Residential!E$244-I1079</f>
        <v>0</v>
      </c>
      <c r="J1105" s="1">
        <f>[1]Residential!F$244-J1079</f>
        <v>0</v>
      </c>
      <c r="K1105" s="1">
        <f>[1]Residential!G$244-K1079</f>
        <v>0</v>
      </c>
    </row>
    <row r="1106" spans="2:11" x14ac:dyDescent="0.35">
      <c r="B1106" s="5" t="str">
        <f t="shared" ref="B1106:B1133" si="763">B1105</f>
        <v>SPS1</v>
      </c>
      <c r="C1106" s="5" t="str">
        <f t="shared" ref="C1106:C1133" si="764">C1105</f>
        <v>CH</v>
      </c>
      <c r="D1106" s="2" t="s">
        <v>1092</v>
      </c>
      <c r="E1106" s="2" t="s">
        <v>240</v>
      </c>
      <c r="F1106" t="s">
        <v>292</v>
      </c>
      <c r="G1106" t="s">
        <v>292</v>
      </c>
      <c r="H1106" t="s">
        <v>292</v>
      </c>
      <c r="I1106" t="s">
        <v>292</v>
      </c>
      <c r="J1106" t="s">
        <v>292</v>
      </c>
      <c r="K1106" t="s">
        <v>292</v>
      </c>
    </row>
    <row r="1107" spans="2:11" x14ac:dyDescent="0.35">
      <c r="B1107" s="5" t="str">
        <f>B1106</f>
        <v>SPS1</v>
      </c>
      <c r="C1107" s="5" t="str">
        <f>C1106</f>
        <v>CH</v>
      </c>
      <c r="D1107" t="s">
        <v>1122</v>
      </c>
      <c r="E1107" t="s">
        <v>240</v>
      </c>
      <c r="F1107" s="4">
        <f>IFERROR(F1056/F973,"-")</f>
        <v>0.94999999999999984</v>
      </c>
      <c r="G1107" s="4">
        <f t="shared" ref="G1107:K1108" si="765">IFERROR(G1056/G973,"-")</f>
        <v>0.95</v>
      </c>
      <c r="H1107" s="4">
        <f t="shared" si="765"/>
        <v>0.91765585473383227</v>
      </c>
      <c r="I1107" s="4">
        <f t="shared" si="765"/>
        <v>0.91927144417211171</v>
      </c>
      <c r="J1107" s="4">
        <f t="shared" si="765"/>
        <v>0.94352323845968278</v>
      </c>
      <c r="K1107" s="4">
        <f t="shared" si="765"/>
        <v>0.94845969668698982</v>
      </c>
    </row>
    <row r="1108" spans="2:11" x14ac:dyDescent="0.35">
      <c r="B1108" s="5" t="str">
        <f t="shared" si="763"/>
        <v>SPS1</v>
      </c>
      <c r="C1108" s="5" t="str">
        <f t="shared" si="764"/>
        <v>CH</v>
      </c>
      <c r="D1108" t="s">
        <v>1123</v>
      </c>
      <c r="E1108" t="s">
        <v>240</v>
      </c>
      <c r="F1108" s="4">
        <f>IFERROR(F1057/F974,"-")</f>
        <v>3.2000000085493823</v>
      </c>
      <c r="G1108" s="4">
        <f t="shared" si="765"/>
        <v>3.2533333416015018</v>
      </c>
      <c r="H1108" s="4">
        <f t="shared" si="765"/>
        <v>2.9871508380921119</v>
      </c>
      <c r="I1108" s="4">
        <f t="shared" si="765"/>
        <v>3.3364023929425959</v>
      </c>
      <c r="J1108" s="4">
        <f t="shared" si="765"/>
        <v>3.7284409916852801</v>
      </c>
      <c r="K1108" s="4">
        <f t="shared" si="765"/>
        <v>4.0767000266996867</v>
      </c>
    </row>
    <row r="1109" spans="2:11" x14ac:dyDescent="0.35">
      <c r="B1109" s="5" t="str">
        <f t="shared" si="763"/>
        <v>SPS1</v>
      </c>
      <c r="C1109" s="5" t="str">
        <f t="shared" si="764"/>
        <v>CH</v>
      </c>
      <c r="D1109" t="s">
        <v>1093</v>
      </c>
      <c r="E1109" t="s">
        <v>240</v>
      </c>
      <c r="F1109" s="4">
        <f>IFERROR(F1059/F983,"-")</f>
        <v>0.89583333333333381</v>
      </c>
      <c r="G1109" s="4">
        <f t="shared" ref="G1109:K1109" si="766">IFERROR(G1059/G983,"-")</f>
        <v>0.89583333333333404</v>
      </c>
      <c r="H1109" s="4">
        <f t="shared" si="766"/>
        <v>0.85374995148968746</v>
      </c>
      <c r="I1109" s="4">
        <f t="shared" si="766"/>
        <v>0.86822796872148844</v>
      </c>
      <c r="J1109" s="4">
        <f t="shared" si="766"/>
        <v>0.86859663423604438</v>
      </c>
      <c r="K1109" s="4">
        <f t="shared" si="766"/>
        <v>0.86910545896331615</v>
      </c>
    </row>
    <row r="1110" spans="2:11" x14ac:dyDescent="0.35">
      <c r="B1110" s="5" t="str">
        <f t="shared" si="763"/>
        <v>SPS1</v>
      </c>
      <c r="C1110" s="5" t="str">
        <f t="shared" si="764"/>
        <v>CH</v>
      </c>
      <c r="D1110" t="s">
        <v>1094</v>
      </c>
      <c r="E1110" t="s">
        <v>240</v>
      </c>
      <c r="F1110" s="4">
        <f>IFERROR(F1061/F996,"-")</f>
        <v>0.94999999999999973</v>
      </c>
      <c r="G1110" s="4">
        <f t="shared" ref="G1110:K1110" si="767">IFERROR(G1061/G996,"-")</f>
        <v>0.95000000000000007</v>
      </c>
      <c r="H1110" s="4">
        <f t="shared" si="767"/>
        <v>0.9344498033419093</v>
      </c>
      <c r="I1110" s="4">
        <f t="shared" si="767"/>
        <v>0.93459096041984657</v>
      </c>
      <c r="J1110" s="4">
        <f t="shared" si="767"/>
        <v>0.93298961382698342</v>
      </c>
      <c r="K1110" s="4">
        <f t="shared" si="767"/>
        <v>0.93867985566827428</v>
      </c>
    </row>
    <row r="1111" spans="2:11" x14ac:dyDescent="0.35">
      <c r="B1111" s="5" t="str">
        <f t="shared" si="763"/>
        <v>SPS1</v>
      </c>
      <c r="C1111" s="5" t="str">
        <f t="shared" si="764"/>
        <v>CH</v>
      </c>
      <c r="D1111" t="s">
        <v>1095</v>
      </c>
      <c r="E1111" t="s">
        <v>240</v>
      </c>
      <c r="F1111" s="4" t="str">
        <f>IFERROR(F1062/F997,"-")</f>
        <v>-</v>
      </c>
      <c r="G1111" s="4" t="str">
        <f t="shared" ref="G1111:K1111" si="768">IFERROR(G1062/G997,"-")</f>
        <v>-</v>
      </c>
      <c r="H1111" s="4">
        <f t="shared" si="768"/>
        <v>1.85836899960382</v>
      </c>
      <c r="I1111" s="4">
        <f t="shared" si="768"/>
        <v>1.9362789631492041</v>
      </c>
      <c r="J1111" s="4">
        <f t="shared" si="768"/>
        <v>2.0344693220770926</v>
      </c>
      <c r="K1111" s="4">
        <f t="shared" si="768"/>
        <v>2.1305412375033685</v>
      </c>
    </row>
    <row r="1112" spans="2:11" x14ac:dyDescent="0.35">
      <c r="B1112" s="5" t="str">
        <f t="shared" si="763"/>
        <v>SPS1</v>
      </c>
      <c r="C1112" s="5" t="str">
        <f t="shared" si="764"/>
        <v>CH</v>
      </c>
      <c r="D1112" t="s">
        <v>1096</v>
      </c>
      <c r="E1112" t="s">
        <v>240</v>
      </c>
      <c r="F1112" s="4">
        <f>IFERROR(F1064/F1015,"-")</f>
        <v>0.71999999999999975</v>
      </c>
      <c r="G1112" s="4">
        <f t="shared" ref="G1112:K1112" si="769">IFERROR(G1064/G1015,"-")</f>
        <v>0.71999999999999986</v>
      </c>
      <c r="H1112" s="4">
        <f t="shared" si="769"/>
        <v>0.79930945612663673</v>
      </c>
      <c r="I1112" s="4">
        <f t="shared" si="769"/>
        <v>0.79999999999999982</v>
      </c>
      <c r="J1112" s="4" t="str">
        <f t="shared" si="769"/>
        <v>-</v>
      </c>
      <c r="K1112" s="4" t="str">
        <f t="shared" si="769"/>
        <v>-</v>
      </c>
    </row>
    <row r="1113" spans="2:11" x14ac:dyDescent="0.35">
      <c r="B1113" s="5" t="str">
        <f t="shared" si="763"/>
        <v>SPS1</v>
      </c>
      <c r="C1113" s="5" t="str">
        <f t="shared" si="764"/>
        <v>CH</v>
      </c>
      <c r="D1113" t="s">
        <v>1097</v>
      </c>
      <c r="E1113" t="s">
        <v>240</v>
      </c>
      <c r="F1113" s="4">
        <v>0.99</v>
      </c>
      <c r="G1113" s="4">
        <v>0.99</v>
      </c>
      <c r="H1113" s="4">
        <v>0.99</v>
      </c>
      <c r="I1113" s="4">
        <v>0.99</v>
      </c>
      <c r="J1113" s="4">
        <v>0.99</v>
      </c>
      <c r="K1113" s="4">
        <v>0.99</v>
      </c>
    </row>
    <row r="1114" spans="2:11" x14ac:dyDescent="0.35">
      <c r="B1114" s="5" t="str">
        <f t="shared" si="763"/>
        <v>SPS1</v>
      </c>
      <c r="C1114" s="5" t="str">
        <f t="shared" si="764"/>
        <v>CH</v>
      </c>
      <c r="D1114" t="s">
        <v>1098</v>
      </c>
      <c r="E1114" t="s">
        <v>240</v>
      </c>
      <c r="F1114" s="4">
        <v>0.99</v>
      </c>
      <c r="G1114" s="4">
        <v>0.99</v>
      </c>
      <c r="H1114" s="4">
        <v>0.99</v>
      </c>
      <c r="I1114" s="4">
        <v>0.99</v>
      </c>
      <c r="J1114" s="4">
        <v>0.99</v>
      </c>
      <c r="K1114" s="4">
        <v>0.99</v>
      </c>
    </row>
    <row r="1115" spans="2:11" x14ac:dyDescent="0.35">
      <c r="B1115" s="5" t="str">
        <f t="shared" si="763"/>
        <v>SPS1</v>
      </c>
      <c r="C1115" s="5" t="str">
        <f t="shared" si="764"/>
        <v>CH</v>
      </c>
      <c r="D1115" t="s">
        <v>1099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</row>
    <row r="1116" spans="2:11" x14ac:dyDescent="0.35">
      <c r="B1116" s="5" t="str">
        <f t="shared" si="763"/>
        <v>SPS1</v>
      </c>
      <c r="C1116" s="5" t="str">
        <f t="shared" si="764"/>
        <v>CH</v>
      </c>
      <c r="D1116" t="s">
        <v>1100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</row>
    <row r="1117" spans="2:11" x14ac:dyDescent="0.35">
      <c r="B1117" s="5" t="str">
        <f t="shared" si="763"/>
        <v>SPS1</v>
      </c>
      <c r="C1117" s="5" t="str">
        <f t="shared" si="764"/>
        <v>CH</v>
      </c>
      <c r="D1117" t="s">
        <v>1101</v>
      </c>
      <c r="E1117" t="s">
        <v>240</v>
      </c>
      <c r="F1117" s="4">
        <f>IFERROR(F1072/F1020,"-")</f>
        <v>0.72</v>
      </c>
      <c r="G1117" s="4">
        <f t="shared" ref="G1117:K1117" si="770">IFERROR(G1072/G1020,"-")</f>
        <v>0.71999999999999975</v>
      </c>
      <c r="H1117" s="4">
        <f t="shared" si="770"/>
        <v>0.71975307611031047</v>
      </c>
      <c r="I1117" s="4">
        <f t="shared" si="770"/>
        <v>0.72554978984988772</v>
      </c>
      <c r="J1117" s="4">
        <f t="shared" si="770"/>
        <v>0.72969812760226882</v>
      </c>
      <c r="K1117" s="4">
        <f t="shared" si="770"/>
        <v>0.75011515385114458</v>
      </c>
    </row>
    <row r="1118" spans="2:11" x14ac:dyDescent="0.35">
      <c r="B1118" s="5" t="str">
        <f t="shared" si="763"/>
        <v>SPS1</v>
      </c>
      <c r="C1118" s="5" t="str">
        <f t="shared" si="764"/>
        <v>CH</v>
      </c>
      <c r="D1118" t="s">
        <v>1102</v>
      </c>
      <c r="E1118" t="s">
        <v>240</v>
      </c>
      <c r="F1118" s="4">
        <f>IFERROR(F1074/F1025,"-")</f>
        <v>0.90000000000000024</v>
      </c>
      <c r="G1118" s="4">
        <f t="shared" ref="G1118:K1118" si="771">IFERROR(G1074/G1025,"-")</f>
        <v>0.89999999999999947</v>
      </c>
      <c r="H1118" s="4">
        <f t="shared" si="771"/>
        <v>0.73643960331754454</v>
      </c>
      <c r="I1118" s="4">
        <f t="shared" si="771"/>
        <v>0.7383309469221595</v>
      </c>
      <c r="J1118" s="4">
        <f t="shared" si="771"/>
        <v>0.74055301210738822</v>
      </c>
      <c r="K1118" s="4">
        <f t="shared" si="771"/>
        <v>0.74851406562858958</v>
      </c>
    </row>
    <row r="1119" spans="2:11" x14ac:dyDescent="0.35">
      <c r="B1119" s="5" t="str">
        <f t="shared" si="763"/>
        <v>SPS1</v>
      </c>
      <c r="C1119" s="5" t="str">
        <f t="shared" si="764"/>
        <v>CH</v>
      </c>
      <c r="D1119" t="s">
        <v>1103</v>
      </c>
      <c r="E1119" t="s">
        <v>240</v>
      </c>
      <c r="F1119" s="4">
        <v>1</v>
      </c>
      <c r="G1119" s="4">
        <v>1</v>
      </c>
      <c r="H1119" s="4">
        <v>1</v>
      </c>
      <c r="I1119" s="4">
        <v>1</v>
      </c>
      <c r="J1119" s="4">
        <v>1</v>
      </c>
      <c r="K1119" s="4">
        <v>1</v>
      </c>
    </row>
    <row r="1120" spans="2:11" x14ac:dyDescent="0.35">
      <c r="B1120" s="5" t="str">
        <f t="shared" si="763"/>
        <v>SPS1</v>
      </c>
      <c r="C1120" s="5" t="str">
        <f t="shared" si="764"/>
        <v>CH</v>
      </c>
      <c r="D1120" t="s">
        <v>1104</v>
      </c>
      <c r="E1120" t="s">
        <v>240</v>
      </c>
      <c r="F1120" s="4" t="str">
        <f>IFERROR(F1078/F1037,"-")</f>
        <v>-</v>
      </c>
      <c r="G1120" s="4" t="str">
        <f t="shared" ref="G1120:K1120" si="772">IFERROR(G1078/G1037,"-")</f>
        <v>-</v>
      </c>
      <c r="H1120" s="4" t="str">
        <f t="shared" si="772"/>
        <v>-</v>
      </c>
      <c r="I1120" s="4" t="str">
        <f t="shared" si="772"/>
        <v>-</v>
      </c>
      <c r="J1120" s="4" t="str">
        <f t="shared" si="772"/>
        <v>-</v>
      </c>
      <c r="K1120" s="4" t="str">
        <f t="shared" si="772"/>
        <v>-</v>
      </c>
    </row>
    <row r="1121" spans="2:11" x14ac:dyDescent="0.35">
      <c r="B1121" s="5" t="str">
        <f t="shared" si="763"/>
        <v>SPS1</v>
      </c>
      <c r="C1121" s="5" t="str">
        <f t="shared" si="764"/>
        <v>CH</v>
      </c>
      <c r="D1121" t="s">
        <v>1124</v>
      </c>
      <c r="E1121" t="s">
        <v>240</v>
      </c>
      <c r="F1121" s="4">
        <f>IFERROR(F1082/F976,"-")</f>
        <v>0.78999999999999915</v>
      </c>
      <c r="G1121" s="4">
        <f t="shared" ref="G1121:K1122" si="773">IFERROR(G1082/G976,"-")</f>
        <v>0.79200000000000026</v>
      </c>
      <c r="H1121" s="4">
        <f t="shared" si="773"/>
        <v>0.46564169760024832</v>
      </c>
      <c r="I1121" s="4">
        <f t="shared" si="773"/>
        <v>0.48503016300383694</v>
      </c>
      <c r="J1121" s="4">
        <f t="shared" si="773"/>
        <v>0.50440603199186229</v>
      </c>
      <c r="K1121" s="4">
        <f t="shared" si="773"/>
        <v>0.51893946581812611</v>
      </c>
    </row>
    <row r="1122" spans="2:11" x14ac:dyDescent="0.35">
      <c r="B1122" s="5" t="str">
        <f t="shared" si="763"/>
        <v>SPS1</v>
      </c>
      <c r="C1122" s="5" t="str">
        <f t="shared" si="764"/>
        <v>CH</v>
      </c>
      <c r="D1122" t="s">
        <v>1125</v>
      </c>
      <c r="E1122" t="s">
        <v>240</v>
      </c>
      <c r="F1122" s="4">
        <f>IFERROR(F1083/F977,"-")</f>
        <v>2.8200000000000007</v>
      </c>
      <c r="G1122" s="4">
        <f t="shared" si="773"/>
        <v>2.8260000000000027</v>
      </c>
      <c r="H1122" s="4">
        <f t="shared" si="773"/>
        <v>1.8857791111255016</v>
      </c>
      <c r="I1122" s="4">
        <f t="shared" si="773"/>
        <v>2.1586494333929855</v>
      </c>
      <c r="J1122" s="4">
        <f t="shared" si="773"/>
        <v>2.4664998148903492</v>
      </c>
      <c r="K1122" s="4">
        <f t="shared" si="773"/>
        <v>2.7464072489554172</v>
      </c>
    </row>
    <row r="1123" spans="2:11" x14ac:dyDescent="0.35">
      <c r="B1123" s="5" t="str">
        <f t="shared" si="763"/>
        <v>SPS1</v>
      </c>
      <c r="C1123" s="5" t="str">
        <f t="shared" si="764"/>
        <v>CH</v>
      </c>
      <c r="D1123" t="s">
        <v>1105</v>
      </c>
      <c r="E1123" t="s">
        <v>240</v>
      </c>
      <c r="F1123" s="4">
        <f>IFERROR(F1085/F989,"-")</f>
        <v>0.70833333333333426</v>
      </c>
      <c r="G1123" s="4">
        <f t="shared" ref="G1123:K1123" si="774">IFERROR(G1085/G989,"-")</f>
        <v>0.71458333333333279</v>
      </c>
      <c r="H1123" s="4">
        <f t="shared" si="774"/>
        <v>0.50131827316926802</v>
      </c>
      <c r="I1123" s="4">
        <f t="shared" si="774"/>
        <v>0.53562173127732005</v>
      </c>
      <c r="J1123" s="4">
        <f t="shared" si="774"/>
        <v>0.55486354673037819</v>
      </c>
      <c r="K1123" s="4">
        <f t="shared" si="774"/>
        <v>0.5870627150955251</v>
      </c>
    </row>
    <row r="1124" spans="2:11" x14ac:dyDescent="0.35">
      <c r="B1124" s="5" t="str">
        <f t="shared" si="763"/>
        <v>SPS1</v>
      </c>
      <c r="C1124" s="5" t="str">
        <f t="shared" si="764"/>
        <v>CH</v>
      </c>
      <c r="D1124" t="s">
        <v>1106</v>
      </c>
      <c r="E1124" t="s">
        <v>240</v>
      </c>
      <c r="F1124" s="4">
        <f>IFERROR(F1087/F1005,"-")</f>
        <v>0.75000000000000044</v>
      </c>
      <c r="G1124" s="4">
        <f t="shared" ref="G1124:K1124" si="775">IFERROR(G1087/G1005,"-")</f>
        <v>0.753999999999999</v>
      </c>
      <c r="H1124" s="4">
        <f t="shared" si="775"/>
        <v>0.52872682074649302</v>
      </c>
      <c r="I1124" s="4">
        <f t="shared" si="775"/>
        <v>0.55146645171664876</v>
      </c>
      <c r="J1124" s="4">
        <f t="shared" si="775"/>
        <v>0.56445910032658342</v>
      </c>
      <c r="K1124" s="4">
        <f t="shared" si="775"/>
        <v>0.57014167501192903</v>
      </c>
    </row>
    <row r="1125" spans="2:11" x14ac:dyDescent="0.35">
      <c r="B1125" s="5" t="str">
        <f t="shared" si="763"/>
        <v>SPS1</v>
      </c>
      <c r="C1125" s="5" t="str">
        <f t="shared" si="764"/>
        <v>CH</v>
      </c>
      <c r="D1125" t="s">
        <v>1107</v>
      </c>
      <c r="E1125" t="s">
        <v>240</v>
      </c>
      <c r="F1125" s="4" t="str">
        <f>IFERROR(F1088/F1006,"-")</f>
        <v>-</v>
      </c>
      <c r="G1125" s="4" t="str">
        <f t="shared" ref="G1125:K1125" si="776">IFERROR(G1088/G1006,"-")</f>
        <v>-</v>
      </c>
      <c r="H1125" s="4">
        <f t="shared" si="776"/>
        <v>2.0072264071166792</v>
      </c>
      <c r="I1125" s="4">
        <f t="shared" si="776"/>
        <v>2.30096451021506</v>
      </c>
      <c r="J1125" s="4">
        <f t="shared" si="776"/>
        <v>2.6611375228326573</v>
      </c>
      <c r="K1125" s="4">
        <f t="shared" si="776"/>
        <v>3.1986179123078791</v>
      </c>
    </row>
    <row r="1126" spans="2:11" x14ac:dyDescent="0.35">
      <c r="B1126" s="5" t="str">
        <f t="shared" si="763"/>
        <v>SPS1</v>
      </c>
      <c r="C1126" s="5" t="str">
        <f t="shared" si="764"/>
        <v>CH</v>
      </c>
      <c r="D1126" t="s">
        <v>1108</v>
      </c>
      <c r="E1126" t="s">
        <v>240</v>
      </c>
      <c r="F1126" s="4">
        <v>0.77</v>
      </c>
      <c r="G1126" s="4">
        <f>AVERAGE(F1126,H1126)</f>
        <v>0.77500000000000002</v>
      </c>
      <c r="H1126" s="4">
        <v>0.78</v>
      </c>
      <c r="I1126" s="4">
        <v>0.79</v>
      </c>
      <c r="J1126" s="4">
        <v>0.79</v>
      </c>
      <c r="K1126" s="4">
        <v>0.79</v>
      </c>
    </row>
    <row r="1127" spans="2:11" x14ac:dyDescent="0.35">
      <c r="B1127" s="5" t="str">
        <f t="shared" si="763"/>
        <v>SPS1</v>
      </c>
      <c r="C1127" s="5" t="str">
        <f t="shared" si="764"/>
        <v>CH</v>
      </c>
      <c r="D1127" t="s">
        <v>1109</v>
      </c>
      <c r="E1127" t="s">
        <v>240</v>
      </c>
      <c r="F1127" s="4">
        <v>0.77</v>
      </c>
      <c r="G1127" s="4">
        <f>AVERAGE(F1127,H1127)</f>
        <v>0.77500000000000002</v>
      </c>
      <c r="H1127" s="4">
        <v>0.78</v>
      </c>
      <c r="I1127" s="4">
        <v>0.79</v>
      </c>
      <c r="J1127" s="4">
        <v>0.79</v>
      </c>
      <c r="K1127" s="4">
        <v>0.79</v>
      </c>
    </row>
    <row r="1128" spans="2:11" x14ac:dyDescent="0.35">
      <c r="B1128" s="5" t="str">
        <f t="shared" si="763"/>
        <v>SPS1</v>
      </c>
      <c r="C1128" s="5" t="str">
        <f t="shared" si="764"/>
        <v>CH</v>
      </c>
      <c r="D1128" t="s">
        <v>1110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</row>
    <row r="1129" spans="2:11" x14ac:dyDescent="0.35">
      <c r="B1129" s="5" t="str">
        <f t="shared" si="763"/>
        <v>SPS1</v>
      </c>
      <c r="C1129" s="5" t="str">
        <f t="shared" si="764"/>
        <v>CH</v>
      </c>
      <c r="D1129" t="s">
        <v>1111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</row>
    <row r="1130" spans="2:11" x14ac:dyDescent="0.35">
      <c r="B1130" s="5" t="str">
        <f t="shared" si="763"/>
        <v>SPS1</v>
      </c>
      <c r="C1130" s="5" t="str">
        <f t="shared" si="764"/>
        <v>CH</v>
      </c>
      <c r="D1130" t="s">
        <v>1112</v>
      </c>
      <c r="E1130" t="s">
        <v>240</v>
      </c>
      <c r="F1130" s="4">
        <f>IFERROR(F1098/F1022,"-")</f>
        <v>0.50000000000000056</v>
      </c>
      <c r="G1130" s="4">
        <f t="shared" ref="G1130:K1130" si="777">IFERROR(G1098/G1022,"-")</f>
        <v>0.50000000000000067</v>
      </c>
      <c r="H1130" s="4">
        <f t="shared" si="777"/>
        <v>0.43865496026655942</v>
      </c>
      <c r="I1130" s="4">
        <f t="shared" si="777"/>
        <v>0.45186028303475656</v>
      </c>
      <c r="J1130" s="4">
        <f t="shared" si="777"/>
        <v>0.47362228596551326</v>
      </c>
      <c r="K1130" s="4">
        <f t="shared" si="777"/>
        <v>0.49786105042357243</v>
      </c>
    </row>
    <row r="1131" spans="2:11" x14ac:dyDescent="0.35">
      <c r="B1131" s="5" t="str">
        <f t="shared" si="763"/>
        <v>SPS1</v>
      </c>
      <c r="C1131" s="5" t="str">
        <f t="shared" si="764"/>
        <v>CH</v>
      </c>
      <c r="D1131" t="s">
        <v>1113</v>
      </c>
      <c r="E1131" t="s">
        <v>240</v>
      </c>
      <c r="F1131" s="4">
        <f>IFERROR(F1100/F1027,"-")</f>
        <v>0.625</v>
      </c>
      <c r="G1131" s="4">
        <f t="shared" ref="G1131:K1131" si="778">IFERROR(G1100/G1027,"-")</f>
        <v>0.62500000000000056</v>
      </c>
      <c r="H1131" s="4">
        <f t="shared" si="778"/>
        <v>0.456121029532703</v>
      </c>
      <c r="I1131" s="4">
        <f t="shared" si="778"/>
        <v>0.46590653440671415</v>
      </c>
      <c r="J1131" s="4">
        <f t="shared" si="778"/>
        <v>0.48103199915950018</v>
      </c>
      <c r="K1131" s="4">
        <f t="shared" si="778"/>
        <v>0.49672711195935021</v>
      </c>
    </row>
    <row r="1132" spans="2:11" x14ac:dyDescent="0.35">
      <c r="B1132" s="5" t="str">
        <f t="shared" si="763"/>
        <v>SPS1</v>
      </c>
      <c r="C1132" s="5" t="str">
        <f t="shared" si="764"/>
        <v>CH</v>
      </c>
      <c r="D1132" t="s">
        <v>1114</v>
      </c>
      <c r="E1132" t="s">
        <v>240</v>
      </c>
      <c r="F1132" s="4">
        <v>1</v>
      </c>
      <c r="G1132" s="4">
        <v>1</v>
      </c>
      <c r="H1132" s="4">
        <v>1</v>
      </c>
      <c r="I1132" s="4">
        <v>1</v>
      </c>
      <c r="J1132" s="4">
        <v>1</v>
      </c>
      <c r="K1132" s="4">
        <v>1</v>
      </c>
    </row>
    <row r="1133" spans="2:11" x14ac:dyDescent="0.35">
      <c r="B1133" s="5" t="str">
        <f t="shared" si="763"/>
        <v>SPS1</v>
      </c>
      <c r="C1133" s="5" t="str">
        <f t="shared" si="764"/>
        <v>CH</v>
      </c>
      <c r="D1133" t="s">
        <v>1115</v>
      </c>
      <c r="E1133" t="s">
        <v>240</v>
      </c>
      <c r="F1133" s="4" t="str">
        <f>IFERROR(F1104/F1039,"-")</f>
        <v>-</v>
      </c>
      <c r="G1133" s="4" t="str">
        <f t="shared" ref="G1133:K1133" si="779">IFERROR(G1104/G1039,"-")</f>
        <v>-</v>
      </c>
      <c r="H1133" s="4" t="str">
        <f t="shared" si="779"/>
        <v>-</v>
      </c>
      <c r="I1133" s="4" t="str">
        <f t="shared" si="779"/>
        <v>-</v>
      </c>
      <c r="J1133" s="4" t="str">
        <f t="shared" si="779"/>
        <v>-</v>
      </c>
      <c r="K1133" s="4" t="str">
        <f t="shared" si="779"/>
        <v>-</v>
      </c>
    </row>
    <row r="1134" spans="2:11" x14ac:dyDescent="0.35">
      <c r="B1134" s="9" t="str">
        <f>B1133</f>
        <v>SPS1</v>
      </c>
      <c r="C1134" s="9" t="str">
        <f>C1133</f>
        <v>CH</v>
      </c>
      <c r="D1134" s="2" t="s">
        <v>1237</v>
      </c>
      <c r="E1134" s="2" t="s">
        <v>8</v>
      </c>
      <c r="F1134" s="3">
        <f t="shared" ref="F1134:K1134" si="780">F1135+F1150+F1155+F1178+F1201</f>
        <v>139.1518133161938</v>
      </c>
      <c r="G1134" s="3">
        <f t="shared" si="780"/>
        <v>133.8704771494516</v>
      </c>
      <c r="H1134" s="3">
        <f t="shared" si="780"/>
        <v>122.49823126799107</v>
      </c>
      <c r="I1134" s="3">
        <f t="shared" si="780"/>
        <v>88.27437445797824</v>
      </c>
      <c r="J1134" s="3">
        <f t="shared" si="780"/>
        <v>50.792832338435204</v>
      </c>
      <c r="K1134" s="3">
        <f t="shared" si="780"/>
        <v>40.604995853409335</v>
      </c>
    </row>
    <row r="1135" spans="2:11" x14ac:dyDescent="0.35">
      <c r="B1135" s="5" t="str">
        <f>B1134</f>
        <v>SPS1</v>
      </c>
      <c r="C1135" s="5" t="str">
        <f>C1134</f>
        <v>CH</v>
      </c>
      <c r="D1135" t="s">
        <v>1238</v>
      </c>
      <c r="E1135" t="s">
        <v>8</v>
      </c>
      <c r="F1135" s="1">
        <f>SUM(F1136:F1149)</f>
        <v>0.73799503250776033</v>
      </c>
      <c r="G1135" s="1">
        <f t="shared" ref="G1135:K1135" si="781">SUM(G1136:G1149)</f>
        <v>1.7459598262434937</v>
      </c>
      <c r="H1135" s="1">
        <f t="shared" si="781"/>
        <v>4.3302574250102763</v>
      </c>
      <c r="I1135" s="1">
        <f t="shared" si="781"/>
        <v>18.298970695228505</v>
      </c>
      <c r="J1135" s="1">
        <f t="shared" si="781"/>
        <v>37.768083009887818</v>
      </c>
      <c r="K1135" s="1">
        <f t="shared" si="781"/>
        <v>39.190581367456303</v>
      </c>
    </row>
    <row r="1136" spans="2:11" x14ac:dyDescent="0.35">
      <c r="B1136" s="5" t="str">
        <f t="shared" ref="B1136:B1215" si="782">B1135</f>
        <v>SPS1</v>
      </c>
      <c r="C1136" s="5" t="str">
        <f t="shared" ref="C1136:C1215" si="783">C1135</f>
        <v>CH</v>
      </c>
      <c r="D1136" t="s">
        <v>1239</v>
      </c>
      <c r="E1136" t="s">
        <v>8</v>
      </c>
      <c r="F1136" s="1" cm="1">
        <f t="array" ref="F1136">SUMPRODUCT(("T_C-BATELCEXT"=[1]OUT_TransportEnergyCons!$A$3:$A$1000)*1,("Var_Fin"=[1]OUT_TransportEnergyCons!$B$3:$B$1000)*1,ISNUMBER(SEARCH("ELC",[1]OUT_TransportEnergyCons!$C$3:$C$1000))*1,[1]OUT_TransportEnergyCons!D$3:D$1000)</f>
        <v>0.46789232328017066</v>
      </c>
      <c r="G1136" s="1" cm="1">
        <f t="array" ref="G1136">SUMPRODUCT(("T_C-BATELCEXT"=[1]OUT_TransportEnergyCons!$A$3:$A$1000)*1,("Var_Fin"=[1]OUT_TransportEnergyCons!$B$3:$B$1000)*1,ISNUMBER(SEARCH("ELC",[1]OUT_TransportEnergyCons!$C$3:$C$1000))*1,[1]OUT_TransportEnergyCons!E$3:E$1000)</f>
        <v>0.37693312167394483</v>
      </c>
      <c r="H1136" s="1" cm="1">
        <f t="array" ref="H1136">SUMPRODUCT(("T_C-BATELCEXT"=[1]OUT_TransportEnergyCons!$A$3:$A$1000)*1,("Var_Fin"=[1]OUT_TransportEnergyCons!$B$3:$B$1000)*1,ISNUMBER(SEARCH("ELC",[1]OUT_TransportEnergyCons!$C$3:$C$1000))*1,[1]OUT_TransportEnergyCons!F$3:F$1000)</f>
        <v>0.26222857942371325</v>
      </c>
      <c r="I1136" s="1" cm="1">
        <f t="array" ref="I1136">SUMPRODUCT(("T_C-BATELCEXT"=[1]OUT_TransportEnergyCons!$A$3:$A$1000)*1,("Var_Fin"=[1]OUT_TransportEnergyCons!$B$3:$B$1000)*1,ISNUMBER(SEARCH("ELC",[1]OUT_TransportEnergyCons!$C$3:$C$1000))*1,[1]OUT_TransportEnergyCons!G$3:G$1000)</f>
        <v>0.1130956121124823</v>
      </c>
      <c r="J1136" s="1" cm="1">
        <f t="array" ref="J1136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6" s="1" cm="1">
        <f t="array" ref="K1136">SUMPRODUCT(("T_C-BATELCEXT"=[1]OUT_TransportEnergyCons!$A$3:$A$1000)*1,("Var_Fin"=[1]OUT_TransportEnergyCons!$B$3:$B$1000)*1,ISNUMBER(SEARCH("ELC",[1]OUT_TransportEnergyCons!$C$3:$C$1000))*1,[1]OUT_TransportEnergyCons!I$3:I$1000)</f>
        <v>0</v>
      </c>
    </row>
    <row r="1137" spans="2:11" x14ac:dyDescent="0.35">
      <c r="B1137" s="5" t="str">
        <f t="shared" si="782"/>
        <v>SPS1</v>
      </c>
      <c r="C1137" s="5" t="str">
        <f t="shared" si="783"/>
        <v>CH</v>
      </c>
      <c r="D1137" t="s">
        <v>1240</v>
      </c>
      <c r="E1137" t="s">
        <v>8</v>
      </c>
      <c r="F1137" s="1" cm="1">
        <f t="array" ref="F1137">SUMPRODUCT(("T_C-BAT-ELC-S1"=[1]OUT_TransportEnergyCons!$A$3:$A$1000)*1,("Var_Fin"=[1]OUT_TransportEnergyCons!$B$3:$B$1000)*1,ISNUMBER(SEARCH("ELC",[1]OUT_TransportEnergyCons!$C$3:$C$1000))*1,[1]OUT_TransportEnergyCons!D$3:D$1000)</f>
        <v>7.6833262086880216E-3</v>
      </c>
      <c r="G1137" s="1" cm="1">
        <f t="array" ref="G1137">SUMPRODUCT(("T_C-BAT-ELC-S1"=[1]OUT_TransportEnergyCons!$A$3:$A$1000)*1,("Var_Fin"=[1]OUT_TransportEnergyCons!$B$3:$B$1000)*1,ISNUMBER(SEARCH("ELC",[1]OUT_TransportEnergyCons!$C$3:$C$1000))*1,[1]OUT_TransportEnergyCons!E$3:E$1000)</f>
        <v>1.3917715720189397E-2</v>
      </c>
      <c r="H1137" s="1" cm="1">
        <f t="array" ref="H1137">SUMPRODUCT(("T_C-BAT-ELC-S1"=[1]OUT_TransportEnergyCons!$A$3:$A$1000)*1,("Var_Fin"=[1]OUT_TransportEnergyCons!$B$3:$B$1000)*1,ISNUMBER(SEARCH("ELC",[1]OUT_TransportEnergyCons!$C$3:$C$1000))*1,[1]OUT_TransportEnergyCons!F$3:F$1000)</f>
        <v>1.1248518318165332E-2</v>
      </c>
      <c r="I1137" s="1" cm="1">
        <f t="array" ref="I1137">SUMPRODUCT(("T_C-BAT-ELC-S1"=[1]OUT_TransportEnergyCons!$A$3:$A$1000)*1,("Var_Fin"=[1]OUT_TransportEnergyCons!$B$3:$B$1000)*1,ISNUMBER(SEARCH("ELC",[1]OUT_TransportEnergyCons!$C$3:$C$1000))*1,[1]OUT_TransportEnergyCons!G$3:G$1000)</f>
        <v>0.52659267700975709</v>
      </c>
      <c r="J1137" s="1" cm="1">
        <f t="array" ref="J1137">SUMPRODUCT(("T_C-BAT-ELC-S1"=[1]OUT_TransportEnergyCons!$A$3:$A$1000)*1,("Var_Fin"=[1]OUT_TransportEnergyCons!$B$3:$B$1000)*1,ISNUMBER(SEARCH("ELC",[1]OUT_TransportEnergyCons!$C$3:$C$1000))*1,[1]OUT_TransportEnergyCons!H$3:H$1000)</f>
        <v>1.2060840535296786</v>
      </c>
      <c r="K1137" s="1" cm="1">
        <f t="array" ref="K1137">SUMPRODUCT(("T_C-BAT-ELC-S1"=[1]OUT_TransportEnergyCons!$A$3:$A$1000)*1,("Var_Fin"=[1]OUT_TransportEnergyCons!$B$3:$B$1000)*1,ISNUMBER(SEARCH("ELC",[1]OUT_TransportEnergyCons!$C$3:$C$1000))*1,[1]OUT_TransportEnergyCons!I$3:I$1000)</f>
        <v>1.1561627525214415</v>
      </c>
    </row>
    <row r="1138" spans="2:11" x14ac:dyDescent="0.35">
      <c r="B1138" s="5" t="str">
        <f t="shared" si="782"/>
        <v>SPS1</v>
      </c>
      <c r="C1138" s="5" t="str">
        <f t="shared" si="783"/>
        <v>CH</v>
      </c>
      <c r="D1138" t="s">
        <v>1241</v>
      </c>
      <c r="E1138" t="s">
        <v>8</v>
      </c>
      <c r="F1138" s="1" cm="1">
        <f t="array" ref="F1138">SUMPRODUCT(("T_C-BAT-ELC-S2"=[1]OUT_TransportEnergyCons!$A$3:$A$1000)*1,("Var_Fin"=[1]OUT_TransportEnergyCons!$B$3:$B$1000)*1,ISNUMBER(SEARCH("ELC",[1]OUT_TransportEnergyCons!$C$3:$C$1000))*1,[1]OUT_TransportEnergyCons!D$3:D$1000)</f>
        <v>6.6174464284292994E-2</v>
      </c>
      <c r="G1138" s="1" cm="1">
        <f t="array" ref="G1138">SUMPRODUCT(("T_C-BAT-ELC-S2"=[1]OUT_TransportEnergyCons!$A$3:$A$1000)*1,("Var_Fin"=[1]OUT_TransportEnergyCons!$B$3:$B$1000)*1,ISNUMBER(SEARCH("ELC",[1]OUT_TransportEnergyCons!$C$3:$C$1000))*1,[1]OUT_TransportEnergyCons!E$3:E$1000)</f>
        <v>0.10274628079905077</v>
      </c>
      <c r="H1138" s="1" cm="1">
        <f t="array" ref="H1138">SUMPRODUCT(("T_C-BAT-ELC-S2"=[1]OUT_TransportEnergyCons!$A$3:$A$1000)*1,("Var_Fin"=[1]OUT_TransportEnergyCons!$B$3:$B$1000)*1,ISNUMBER(SEARCH("ELC",[1]OUT_TransportEnergyCons!$C$3:$C$1000))*1,[1]OUT_TransportEnergyCons!F$3:F$1000)</f>
        <v>0.95640324585129599</v>
      </c>
      <c r="I1138" s="1" cm="1">
        <f t="array" ref="I1138">SUMPRODUCT(("T_C-BAT-ELC-S2"=[1]OUT_TransportEnergyCons!$A$3:$A$1000)*1,("Var_Fin"=[1]OUT_TransportEnergyCons!$B$3:$B$1000)*1,ISNUMBER(SEARCH("ELC",[1]OUT_TransportEnergyCons!$C$3:$C$1000))*1,[1]OUT_TransportEnergyCons!G$3:G$1000)</f>
        <v>5.785080340305357</v>
      </c>
      <c r="J1138" s="1" cm="1">
        <f t="array" ref="J1138">SUMPRODUCT(("T_C-BAT-ELC-S2"=[1]OUT_TransportEnergyCons!$A$3:$A$1000)*1,("Var_Fin"=[1]OUT_TransportEnergyCons!$B$3:$B$1000)*1,ISNUMBER(SEARCH("ELC",[1]OUT_TransportEnergyCons!$C$3:$C$1000))*1,[1]OUT_TransportEnergyCons!H$3:H$1000)</f>
        <v>11.736055542992327</v>
      </c>
      <c r="K1138" s="1" cm="1">
        <f t="array" ref="K1138">SUMPRODUCT(("T_C-BAT-ELC-S2"=[1]OUT_TransportEnergyCons!$A$3:$A$1000)*1,("Var_Fin"=[1]OUT_TransportEnergyCons!$B$3:$B$1000)*1,ISNUMBER(SEARCH("ELC",[1]OUT_TransportEnergyCons!$C$3:$C$1000))*1,[1]OUT_TransportEnergyCons!I$3:I$1000)</f>
        <v>10.50817630850222</v>
      </c>
    </row>
    <row r="1139" spans="2:11" x14ac:dyDescent="0.35">
      <c r="B1139" s="5" t="str">
        <f t="shared" si="782"/>
        <v>SPS1</v>
      </c>
      <c r="C1139" s="5" t="str">
        <f t="shared" si="783"/>
        <v>CH</v>
      </c>
      <c r="D1139" t="s">
        <v>1242</v>
      </c>
      <c r="E1139" t="s">
        <v>8</v>
      </c>
      <c r="F1139" s="1" cm="1">
        <f t="array" ref="F1139">SUMPRODUCT(("T_C-BAT-ELC-S3"=[1]OUT_TransportEnergyCons!$A$3:$A$1000)*1,("Var_Fin"=[1]OUT_TransportEnergyCons!$B$3:$B$1000)*1,ISNUMBER(SEARCH("ELC",[1]OUT_TransportEnergyCons!$C$3:$C$1000))*1,[1]OUT_TransportEnergyCons!D$3:D$1000)</f>
        <v>4.6034608122136368E-2</v>
      </c>
      <c r="G1139" s="1" cm="1">
        <f t="array" ref="G1139">SUMPRODUCT(("T_C-BAT-ELC-S3"=[1]OUT_TransportEnergyCons!$A$3:$A$1000)*1,("Var_Fin"=[1]OUT_TransportEnergyCons!$B$3:$B$1000)*1,ISNUMBER(SEARCH("ELC",[1]OUT_TransportEnergyCons!$C$3:$C$1000))*1,[1]OUT_TransportEnergyCons!E$3:E$1000)</f>
        <v>9.5201389693014032E-2</v>
      </c>
      <c r="H1139" s="1" cm="1">
        <f t="array" ref="H1139">SUMPRODUCT(("T_C-BAT-ELC-S3"=[1]OUT_TransportEnergyCons!$A$3:$A$1000)*1,("Var_Fin"=[1]OUT_TransportEnergyCons!$B$3:$B$1000)*1,ISNUMBER(SEARCH("ELC",[1]OUT_TransportEnergyCons!$C$3:$C$1000))*1,[1]OUT_TransportEnergyCons!F$3:F$1000)</f>
        <v>0.11034241638252583</v>
      </c>
      <c r="I1139" s="1" cm="1">
        <f t="array" ref="I1139">SUMPRODUCT(("T_C-BAT-ELC-S3"=[1]OUT_TransportEnergyCons!$A$3:$A$1000)*1,("Var_Fin"=[1]OUT_TransportEnergyCons!$B$3:$B$1000)*1,ISNUMBER(SEARCH("ELC",[1]OUT_TransportEnergyCons!$C$3:$C$1000))*1,[1]OUT_TransportEnergyCons!G$3:G$1000)</f>
        <v>9.2789272562585054E-2</v>
      </c>
      <c r="J1139" s="1" cm="1">
        <f t="array" ref="J1139">SUMPRODUCT(("T_C-BAT-ELC-S3"=[1]OUT_TransportEnergyCons!$A$3:$A$1000)*1,("Var_Fin"=[1]OUT_TransportEnergyCons!$B$3:$B$1000)*1,ISNUMBER(SEARCH("ELC",[1]OUT_TransportEnergyCons!$C$3:$C$1000))*1,[1]OUT_TransportEnergyCons!H$3:H$1000)</f>
        <v>4.5656993755368305</v>
      </c>
      <c r="K1139" s="1" cm="1">
        <f t="array" ref="K1139">SUMPRODUCT(("T_C-BAT-ELC-S3"=[1]OUT_TransportEnergyCons!$A$3:$A$1000)*1,("Var_Fin"=[1]OUT_TransportEnergyCons!$B$3:$B$1000)*1,ISNUMBER(SEARCH("ELC",[1]OUT_TransportEnergyCons!$C$3:$C$1000))*1,[1]OUT_TransportEnergyCons!I$3:I$1000)</f>
        <v>9.0549896411657276</v>
      </c>
    </row>
    <row r="1140" spans="2:11" x14ac:dyDescent="0.35">
      <c r="B1140" s="5" t="str">
        <f t="shared" si="782"/>
        <v>SPS1</v>
      </c>
      <c r="C1140" s="5" t="str">
        <f t="shared" si="783"/>
        <v>CH</v>
      </c>
      <c r="D1140" t="s">
        <v>1243</v>
      </c>
      <c r="E1140" t="s">
        <v>8</v>
      </c>
      <c r="F1140" s="1" cm="1">
        <f t="array" ref="F1140">SUMPRODUCT(("T_C-BAT-ELC-S4"=[1]OUT_TransportEnergyCons!$A$3:$A$1000)*1,("Var_Fin"=[1]OUT_TransportEnergyCons!$B$3:$B$1000)*1,ISNUMBER(SEARCH("ELC",[1]OUT_TransportEnergyCons!$C$3:$C$1000))*1,[1]OUT_TransportEnergyCons!D$3:D$1000)</f>
        <v>0.1496621407767699</v>
      </c>
      <c r="G1140" s="1" cm="1">
        <f t="array" ref="G1140">SUMPRODUCT(("T_C-BAT-ELC-S4"=[1]OUT_TransportEnergyCons!$A$3:$A$1000)*1,("Var_Fin"=[1]OUT_TransportEnergyCons!$B$3:$B$1000)*1,ISNUMBER(SEARCH("ELC",[1]OUT_TransportEnergyCons!$C$3:$C$1000))*1,[1]OUT_TransportEnergyCons!E$3:E$1000)</f>
        <v>1.0543219158307198</v>
      </c>
      <c r="H1140" s="1" cm="1">
        <f t="array" ref="H1140">SUMPRODUCT(("T_C-BAT-ELC-S4"=[1]OUT_TransportEnergyCons!$A$3:$A$1000)*1,("Var_Fin"=[1]OUT_TransportEnergyCons!$B$3:$B$1000)*1,ISNUMBER(SEARCH("ELC",[1]OUT_TransportEnergyCons!$C$3:$C$1000))*1,[1]OUT_TransportEnergyCons!F$3:F$1000)</f>
        <v>2.6835773201640505</v>
      </c>
      <c r="I1140" s="1" cm="1">
        <f t="array" ref="I1140">SUMPRODUCT(("T_C-BAT-ELC-S4"=[1]OUT_TransportEnergyCons!$A$3:$A$1000)*1,("Var_Fin"=[1]OUT_TransportEnergyCons!$B$3:$B$1000)*1,ISNUMBER(SEARCH("ELC",[1]OUT_TransportEnergyCons!$C$3:$C$1000))*1,[1]OUT_TransportEnergyCons!G$3:G$1000)</f>
        <v>9.8354123581702861</v>
      </c>
      <c r="J1140" s="1" cm="1">
        <f t="array" ref="J1140">SUMPRODUCT(("T_C-BAT-ELC-S4"=[1]OUT_TransportEnergyCons!$A$3:$A$1000)*1,("Var_Fin"=[1]OUT_TransportEnergyCons!$B$3:$B$1000)*1,ISNUMBER(SEARCH("ELC",[1]OUT_TransportEnergyCons!$C$3:$C$1000))*1,[1]OUT_TransportEnergyCons!H$3:H$1000)</f>
        <v>16.398640700118833</v>
      </c>
      <c r="K1140" s="1" cm="1">
        <f t="array" ref="K1140">SUMPRODUCT(("T_C-BAT-ELC-S4"=[1]OUT_TransportEnergyCons!$A$3:$A$1000)*1,("Var_Fin"=[1]OUT_TransportEnergyCons!$B$3:$B$1000)*1,ISNUMBER(SEARCH("ELC",[1]OUT_TransportEnergyCons!$C$3:$C$1000))*1,[1]OUT_TransportEnergyCons!I$3:I$1000)</f>
        <v>15.496988328130508</v>
      </c>
    </row>
    <row r="1141" spans="2:11" x14ac:dyDescent="0.35">
      <c r="B1141" s="5" t="str">
        <f t="shared" si="782"/>
        <v>SPS1</v>
      </c>
      <c r="C1141" s="5" t="str">
        <f t="shared" si="783"/>
        <v>CH</v>
      </c>
      <c r="D1141" t="s">
        <v>1244</v>
      </c>
      <c r="E1141" t="s">
        <v>8</v>
      </c>
      <c r="F1141" s="1" cm="1">
        <f t="array" ref="F1141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1" s="1" cm="1">
        <f t="array" ref="G1141">SUMPRODUCT(("T-Plg-elc-gsl_S1"=[1]OUT_TransportEnergyCons!$A$3:$A$1000)*1,("Var_Fin"=[1]OUT_TransportEnergyCons!$B$3:$B$1000)*1,ISNUMBER(SEARCH("ELC",[1]OUT_TransportEnergyCons!$C$3:$C$1000))*1,[1]OUT_TransportEnergyCons!E$3:E$1000)</f>
        <v>2.9118986938439558E-5</v>
      </c>
      <c r="H1141" s="1" cm="1">
        <f t="array" ref="H1141">SUMPRODUCT(("T-Plg-elc-gsl_S1"=[1]OUT_TransportEnergyCons!$A$3:$A$1000)*1,("Var_Fin"=[1]OUT_TransportEnergyCons!$B$3:$B$1000)*1,ISNUMBER(SEARCH("ELC",[1]OUT_TransportEnergyCons!$C$3:$C$1000))*1,[1]OUT_TransportEnergyCons!F$3:F$1000)</f>
        <v>4.2674645742247277E-5</v>
      </c>
      <c r="I1141" s="1" cm="1">
        <f t="array" ref="I1141">SUMPRODUCT(("T-Plg-elc-gsl_S1"=[1]OUT_TransportEnergyCons!$A$3:$A$1000)*1,("Var_Fin"=[1]OUT_TransportEnergyCons!$B$3:$B$1000)*1,ISNUMBER(SEARCH("ELC",[1]OUT_TransportEnergyCons!$C$3:$C$1000))*1,[1]OUT_TransportEnergyCons!G$3:G$1000)</f>
        <v>8.178560005187748E-5</v>
      </c>
      <c r="J1141" s="1" cm="1">
        <f t="array" ref="J1141">SUMPRODUCT(("T-Plg-elc-gsl_S1"=[1]OUT_TransportEnergyCons!$A$3:$A$1000)*1,("Var_Fin"=[1]OUT_TransportEnergyCons!$B$3:$B$1000)*1,ISNUMBER(SEARCH("ELC",[1]OUT_TransportEnergyCons!$C$3:$C$1000))*1,[1]OUT_TransportEnergyCons!H$3:H$1000)</f>
        <v>6.9389313650296893E-5</v>
      </c>
      <c r="K1141" s="1" cm="1">
        <f t="array" ref="K1141">SUMPRODUCT(("T-Plg-elc-gsl_S1"=[1]OUT_TransportEnergyCons!$A$3:$A$1000)*1,("Var_Fin"=[1]OUT_TransportEnergyCons!$B$3:$B$1000)*1,ISNUMBER(SEARCH("ELC",[1]OUT_TransportEnergyCons!$C$3:$C$1000))*1,[1]OUT_TransportEnergyCons!I$3:I$1000)</f>
        <v>2.266791504580096E-5</v>
      </c>
    </row>
    <row r="1142" spans="2:11" x14ac:dyDescent="0.35">
      <c r="B1142" s="5" t="str">
        <f t="shared" si="782"/>
        <v>SPS1</v>
      </c>
      <c r="C1142" s="5" t="str">
        <f t="shared" si="783"/>
        <v>CH</v>
      </c>
      <c r="D1142" t="s">
        <v>1245</v>
      </c>
      <c r="E1142" t="s">
        <v>8</v>
      </c>
      <c r="F1142" s="1" cm="1">
        <f t="array" ref="F1142">SUMPRODUCT(("T-Plg-elc-gsl_S2"=[1]OUT_TransportEnergyCons!$A$3:$A$1000)*1,("Var_Fin"=[1]OUT_TransportEnergyCons!$B$3:$B$1000)*1,ISNUMBER(SEARCH("ELC",[1]OUT_TransportEnergyCons!$C$3:$C$1000))*1,[1]OUT_TransportEnergyCons!D$3:D$1000)</f>
        <v>5.4816983570245043E-4</v>
      </c>
      <c r="G1142" s="1" cm="1">
        <f t="array" ref="G1142">SUMPRODUCT(("T-Plg-elc-gsl_S2"=[1]OUT_TransportEnergyCons!$A$3:$A$1000)*1,("Var_Fin"=[1]OUT_TransportEnergyCons!$B$3:$B$1000)*1,ISNUMBER(SEARCH("ELC",[1]OUT_TransportEnergyCons!$C$3:$C$1000))*1,[1]OUT_TransportEnergyCons!E$3:E$1000)</f>
        <v>7.2852074795694615E-3</v>
      </c>
      <c r="H1142" s="1" cm="1">
        <f t="array" ref="H1142">SUMPRODUCT(("T-Plg-elc-gsl_S2"=[1]OUT_TransportEnergyCons!$A$3:$A$1000)*1,("Var_Fin"=[1]OUT_TransportEnergyCons!$B$3:$B$1000)*1,ISNUMBER(SEARCH("ELC",[1]OUT_TransportEnergyCons!$C$3:$C$1000))*1,[1]OUT_TransportEnergyCons!F$3:F$1000)</f>
        <v>1.7196511421208309E-3</v>
      </c>
      <c r="I1142" s="1" cm="1">
        <f t="array" ref="I1142">SUMPRODUCT(("T-Plg-elc-gsl_S2"=[1]OUT_TransportEnergyCons!$A$3:$A$1000)*1,("Var_Fin"=[1]OUT_TransportEnergyCons!$B$3:$B$1000)*1,ISNUMBER(SEARCH("ELC",[1]OUT_TransportEnergyCons!$C$3:$C$1000))*1,[1]OUT_TransportEnergyCons!G$3:G$1000)</f>
        <v>1.0797013687003439E-3</v>
      </c>
      <c r="J1142" s="1" cm="1">
        <f t="array" ref="J1142">SUMPRODUCT(("T-Plg-elc-gsl_S2"=[1]OUT_TransportEnergyCons!$A$3:$A$1000)*1,("Var_Fin"=[1]OUT_TransportEnergyCons!$B$3:$B$1000)*1,ISNUMBER(SEARCH("ELC",[1]OUT_TransportEnergyCons!$C$3:$C$1000))*1,[1]OUT_TransportEnergyCons!H$3:H$1000)</f>
        <v>3.009364951364682E-4</v>
      </c>
      <c r="K1142" s="1" cm="1">
        <f t="array" ref="K1142">SUMPRODUCT(("T-Plg-elc-gsl_S2"=[1]OUT_TransportEnergyCons!$A$3:$A$1000)*1,("Var_Fin"=[1]OUT_TransportEnergyCons!$B$3:$B$1000)*1,ISNUMBER(SEARCH("ELC",[1]OUT_TransportEnergyCons!$C$3:$C$1000))*1,[1]OUT_TransportEnergyCons!I$3:I$1000)</f>
        <v>8.3043474394896478E-5</v>
      </c>
    </row>
    <row r="1143" spans="2:11" x14ac:dyDescent="0.35">
      <c r="B1143" s="5" t="str">
        <f t="shared" si="782"/>
        <v>SPS1</v>
      </c>
      <c r="C1143" s="5" t="str">
        <f t="shared" si="783"/>
        <v>CH</v>
      </c>
      <c r="D1143" t="s">
        <v>1246</v>
      </c>
      <c r="E1143" t="s">
        <v>8</v>
      </c>
      <c r="F1143" s="1" cm="1">
        <f t="array" ref="F1143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SUMPRODUCT(("T-Plg-elc-gsl_S3"=[1]OUT_TransportEnergyCons!$A$3:$A$1000)*1,("Var_Fin"=[1]OUT_TransportEnergyCons!$B$3:$B$1000)*1,ISNUMBER(SEARCH("ELC",[1]OUT_TransportEnergyCons!$C$3:$C$1000))*1,[1]OUT_TransportEnergyCons!E$3:E$1000)</f>
        <v>7.6573798150594105E-2</v>
      </c>
      <c r="H1143" s="1" cm="1">
        <f t="array" ref="H1143">SUMPRODUCT(("T-Plg-elc-gsl_S3"=[1]OUT_TransportEnergyCons!$A$3:$A$1000)*1,("Var_Fin"=[1]OUT_TransportEnergyCons!$B$3:$B$1000)*1,ISNUMBER(SEARCH("ELC",[1]OUT_TransportEnergyCons!$C$3:$C$1000))*1,[1]OUT_TransportEnergyCons!F$3:F$1000)</f>
        <v>0.16491398326070444</v>
      </c>
      <c r="I1143" s="1" cm="1">
        <f t="array" ref="I1143">SUMPRODUCT(("T-Plg-elc-gsl_S3"=[1]OUT_TransportEnergyCons!$A$3:$A$1000)*1,("Var_Fin"=[1]OUT_TransportEnergyCons!$B$3:$B$1000)*1,ISNUMBER(SEARCH("ELC",[1]OUT_TransportEnergyCons!$C$3:$C$1000))*1,[1]OUT_TransportEnergyCons!G$3:G$1000)</f>
        <v>1.1147676591807458</v>
      </c>
      <c r="J1143" s="1" cm="1">
        <f t="array" ref="J1143">SUMPRODUCT(("T-Plg-elc-gsl_S3"=[1]OUT_TransportEnergyCons!$A$3:$A$1000)*1,("Var_Fin"=[1]OUT_TransportEnergyCons!$B$3:$B$1000)*1,ISNUMBER(SEARCH("ELC",[1]OUT_TransportEnergyCons!$C$3:$C$1000))*1,[1]OUT_TransportEnergyCons!H$3:H$1000)</f>
        <v>1.8256364757996602</v>
      </c>
      <c r="K1143" s="1" cm="1">
        <f t="array" ref="K1143">SUMPRODUCT(("T-Plg-elc-gsl_S3"=[1]OUT_TransportEnergyCons!$A$3:$A$1000)*1,("Var_Fin"=[1]OUT_TransportEnergyCons!$B$3:$B$1000)*1,ISNUMBER(SEARCH("ELC",[1]OUT_TransportEnergyCons!$C$3:$C$1000))*1,[1]OUT_TransportEnergyCons!I$3:I$1000)</f>
        <v>0.59433471014025019</v>
      </c>
    </row>
    <row r="1144" spans="2:11" x14ac:dyDescent="0.35">
      <c r="B1144" s="5" t="str">
        <f t="shared" si="782"/>
        <v>SPS1</v>
      </c>
      <c r="C1144" s="5" t="str">
        <f t="shared" si="783"/>
        <v>CH</v>
      </c>
      <c r="D1144" t="s">
        <v>1247</v>
      </c>
      <c r="E1144" t="s">
        <v>8</v>
      </c>
      <c r="F1144" s="1" cm="1">
        <f t="array" ref="F1144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4" s="1" cm="1">
        <f t="array" ref="G1144">SUMPRODUCT(("T-Plg-elc-gsl_S4"=[1]OUT_TransportEnergyCons!$A$3:$A$1000)*1,("Var_Fin"=[1]OUT_TransportEnergyCons!$B$3:$B$1000)*1,ISNUMBER(SEARCH("ELC",[1]OUT_TransportEnergyCons!$C$3:$C$1000))*1,[1]OUT_TransportEnergyCons!E$3:E$1000)</f>
        <v>1.7593402895587331E-2</v>
      </c>
      <c r="H1144" s="1" cm="1">
        <f t="array" ref="H1144">SUMPRODUCT(("T-Plg-elc-gsl_S4"=[1]OUT_TransportEnergyCons!$A$3:$A$1000)*1,("Var_Fin"=[1]OUT_TransportEnergyCons!$B$3:$B$1000)*1,ISNUMBER(SEARCH("ELC",[1]OUT_TransportEnergyCons!$C$3:$C$1000))*1,[1]OUT_TransportEnergyCons!F$3:F$1000)</f>
        <v>4.33892270704521E-3</v>
      </c>
      <c r="I1144" s="1" cm="1">
        <f t="array" ref="I1144">SUMPRODUCT(("T-Plg-elc-gsl_S4"=[1]OUT_TransportEnergyCons!$A$3:$A$1000)*1,("Var_Fin"=[1]OUT_TransportEnergyCons!$B$3:$B$1000)*1,ISNUMBER(SEARCH("ELC",[1]OUT_TransportEnergyCons!$C$3:$C$1000))*1,[1]OUT_TransportEnergyCons!G$3:G$1000)</f>
        <v>6.378414476936353E-3</v>
      </c>
      <c r="J1144" s="1" cm="1">
        <f t="array" ref="J1144">SUMPRODUCT(("T-Plg-elc-gsl_S4"=[1]OUT_TransportEnergyCons!$A$3:$A$1000)*1,("Var_Fin"=[1]OUT_TransportEnergyCons!$B$3:$B$1000)*1,ISNUMBER(SEARCH("ELC",[1]OUT_TransportEnergyCons!$C$3:$C$1000))*1,[1]OUT_TransportEnergyCons!H$3:H$1000)</f>
        <v>9.8582047299218415E-4</v>
      </c>
      <c r="K1144" s="1" cm="1">
        <f t="array" ref="K1144">SUMPRODUCT(("T-Plg-elc-gsl_S4"=[1]OUT_TransportEnergyCons!$A$3:$A$1000)*1,("Var_Fin"=[1]OUT_TransportEnergyCons!$B$3:$B$1000)*1,ISNUMBER(SEARCH("ELC",[1]OUT_TransportEnergyCons!$C$3:$C$1000))*1,[1]OUT_TransportEnergyCons!I$3:I$1000)</f>
        <v>1.5540322004478955E-4</v>
      </c>
    </row>
    <row r="1145" spans="2:11" x14ac:dyDescent="0.35">
      <c r="B1145" s="5" t="str">
        <f t="shared" ref="B1145:B1149" si="784">B1144</f>
        <v>SPS1</v>
      </c>
      <c r="C1145" s="5" t="str">
        <f t="shared" ref="C1145:C1149" si="785">C1144</f>
        <v>CH</v>
      </c>
      <c r="D1145" t="s">
        <v>1248</v>
      </c>
      <c r="E1145" t="s">
        <v>8</v>
      </c>
      <c r="F1145" s="1" cm="1">
        <f t="array" ref="F1145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SUMPRODUCT(("T-Plg-elc-dsl_S1"=[1]OUT_TransportEnergyCons!$A$3:$A$1000)*1,("Var_Fin"=[1]OUT_TransportEnergyCons!$B$3:$B$1000)*1,ISNUMBER(SEARCH("ELC",[1]OUT_TransportEnergyCons!$C$3:$C$1000))*1,[1]OUT_TransportEnergyCons!E$3:E$1000)</f>
        <v>1.7275562139473869E-5</v>
      </c>
      <c r="H1145" s="1" cm="1">
        <f t="array" ref="H1145">SUMPRODUCT(("T-Plg-elc-dsl_S1"=[1]OUT_TransportEnergyCons!$A$3:$A$1000)*1,("Var_Fin"=[1]OUT_TransportEnergyCons!$B$3:$B$1000)*1,ISNUMBER(SEARCH("ELC",[1]OUT_TransportEnergyCons!$C$3:$C$1000))*1,[1]OUT_TransportEnergyCons!F$3:F$1000)</f>
        <v>3.209772375588699E-5</v>
      </c>
      <c r="I1145" s="1" cm="1">
        <f t="array" ref="I1145">SUMPRODUCT(("T-Plg-elc-dsl_S1"=[1]OUT_TransportEnergyCons!$A$3:$A$1000)*1,("Var_Fin"=[1]OUT_TransportEnergyCons!$B$3:$B$1000)*1,ISNUMBER(SEARCH("ELC",[1]OUT_TransportEnergyCons!$C$3:$C$1000))*1,[1]OUT_TransportEnergyCons!G$3:G$1000)</f>
        <v>7.0665819086796695E-5</v>
      </c>
      <c r="J1145" s="1" cm="1">
        <f t="array" ref="J1145">SUMPRODUCT(("T-Plg-elc-dsl_S1"=[1]OUT_TransportEnergyCons!$A$3:$A$1000)*1,("Var_Fin"=[1]OUT_TransportEnergyCons!$B$3:$B$1000)*1,ISNUMBER(SEARCH("ELC",[1]OUT_TransportEnergyCons!$C$3:$C$1000))*1,[1]OUT_TransportEnergyCons!H$3:H$1000)</f>
        <v>6.9993930776846594E-5</v>
      </c>
      <c r="K1145" s="1" cm="1">
        <f t="array" ref="K1145">SUMPRODUCT(("T-Plg-elc-dsl_S1"=[1]OUT_TransportEnergyCons!$A$3:$A$1000)*1,("Var_Fin"=[1]OUT_TransportEnergyCons!$B$3:$B$1000)*1,ISNUMBER(SEARCH("ELC",[1]OUT_TransportEnergyCons!$C$3:$C$1000))*1,[1]OUT_TransportEnergyCons!I$3:I$1000)</f>
        <v>2.2714285559082998E-5</v>
      </c>
    </row>
    <row r="1146" spans="2:11" x14ac:dyDescent="0.35">
      <c r="B1146" s="5" t="str">
        <f t="shared" si="784"/>
        <v>SPS1</v>
      </c>
      <c r="C1146" s="5" t="str">
        <f t="shared" si="785"/>
        <v>CH</v>
      </c>
      <c r="D1146" t="s">
        <v>1249</v>
      </c>
      <c r="E1146" t="s">
        <v>8</v>
      </c>
      <c r="F1146" s="1" cm="1">
        <f t="array" ref="F1146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SUMPRODUCT(("T-Plg-elc-dsl_S2"=[1]OUT_TransportEnergyCons!$A$3:$A$1000)*1,("Var_Fin"=[1]OUT_TransportEnergyCons!$B$3:$B$1000)*1,ISNUMBER(SEARCH("ELC",[1]OUT_TransportEnergyCons!$C$3:$C$1000))*1,[1]OUT_TransportEnergyCons!E$3:E$1000)</f>
        <v>2.109300338550763E-5</v>
      </c>
      <c r="H1146" s="1" cm="1">
        <f t="array" ref="H1146">SUMPRODUCT(("T-Plg-elc-dsl_S2"=[1]OUT_TransportEnergyCons!$A$3:$A$1000)*1,("Var_Fin"=[1]OUT_TransportEnergyCons!$B$3:$B$1000)*1,ISNUMBER(SEARCH("ELC",[1]OUT_TransportEnergyCons!$C$3:$C$1000))*1,[1]OUT_TransportEnergyCons!F$3:F$1000)</f>
        <v>9.8789461725722549E-5</v>
      </c>
      <c r="I1146" s="1" cm="1">
        <f t="array" ref="I1146">SUMPRODUCT(("T-Plg-elc-dsl_S2"=[1]OUT_TransportEnergyCons!$A$3:$A$1000)*1,("Var_Fin"=[1]OUT_TransportEnergyCons!$B$3:$B$1000)*1,ISNUMBER(SEARCH("ELC",[1]OUT_TransportEnergyCons!$C$3:$C$1000))*1,[1]OUT_TransportEnergyCons!G$3:G$1000)</f>
        <v>2.3391104705348863E-4</v>
      </c>
      <c r="J1146" s="1" cm="1">
        <f t="array" ref="J1146">SUMPRODUCT(("T-Plg-elc-dsl_S2"=[1]OUT_TransportEnergyCons!$A$3:$A$1000)*1,("Var_Fin"=[1]OUT_TransportEnergyCons!$B$3:$B$1000)*1,ISNUMBER(SEARCH("ELC",[1]OUT_TransportEnergyCons!$C$3:$C$1000))*1,[1]OUT_TransportEnergyCons!H$3:H$1000)</f>
        <v>3.4588336378613659E-4</v>
      </c>
      <c r="K1146" s="1" cm="1">
        <f t="array" ref="K1146">SUMPRODUCT(("T-Plg-elc-dsl_S2"=[1]OUT_TransportEnergyCons!$A$3:$A$1000)*1,("Var_Fin"=[1]OUT_TransportEnergyCons!$B$3:$B$1000)*1,ISNUMBER(SEARCH("ELC",[1]OUT_TransportEnergyCons!$C$3:$C$1000))*1,[1]OUT_TransportEnergyCons!I$3:I$1000)</f>
        <v>8.5041661953993736E-5</v>
      </c>
    </row>
    <row r="1147" spans="2:11" x14ac:dyDescent="0.35">
      <c r="B1147" s="5" t="str">
        <f t="shared" si="784"/>
        <v>SPS1</v>
      </c>
      <c r="C1147" s="5" t="str">
        <f t="shared" si="785"/>
        <v>CH</v>
      </c>
      <c r="D1147" t="s">
        <v>1250</v>
      </c>
      <c r="E1147" t="s">
        <v>8</v>
      </c>
      <c r="F1147" s="1" cm="1">
        <f t="array" ref="F1147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SUMPRODUCT(("T-Plg-elc-dsl_S3"=[1]OUT_TransportEnergyCons!$A$3:$A$1000)*1,("Var_Fin"=[1]OUT_TransportEnergyCons!$B$3:$B$1000)*1,ISNUMBER(SEARCH("ELC",[1]OUT_TransportEnergyCons!$C$3:$C$1000))*1,[1]OUT_TransportEnergyCons!E$3:E$1000)</f>
        <v>2.7204306268298421E-4</v>
      </c>
      <c r="H1147" s="1" cm="1">
        <f t="array" ref="H1147">SUMPRODUCT(("T-Plg-elc-dsl_S3"=[1]OUT_TransportEnergyCons!$A$3:$A$1000)*1,("Var_Fin"=[1]OUT_TransportEnergyCons!$B$3:$B$1000)*1,ISNUMBER(SEARCH("ELC",[1]OUT_TransportEnergyCons!$C$3:$C$1000))*1,[1]OUT_TransportEnergyCons!F$3:F$1000)</f>
        <v>0.13498277401282033</v>
      </c>
      <c r="I1147" s="1" cm="1">
        <f t="array" ref="I1147">SUMPRODUCT(("T-Plg-elc-dsl_S3"=[1]OUT_TransportEnergyCons!$A$3:$A$1000)*1,("Var_Fin"=[1]OUT_TransportEnergyCons!$B$3:$B$1000)*1,ISNUMBER(SEARCH("ELC",[1]OUT_TransportEnergyCons!$C$3:$C$1000))*1,[1]OUT_TransportEnergyCons!G$3:G$1000)</f>
        <v>0.80351592195787158</v>
      </c>
      <c r="J1147" s="1" cm="1">
        <f t="array" ref="J1147">SUMPRODUCT(("T-Plg-elc-dsl_S3"=[1]OUT_TransportEnergyCons!$A$3:$A$1000)*1,("Var_Fin"=[1]OUT_TransportEnergyCons!$B$3:$B$1000)*1,ISNUMBER(SEARCH("ELC",[1]OUT_TransportEnergyCons!$C$3:$C$1000))*1,[1]OUT_TransportEnergyCons!H$3:H$1000)</f>
        <v>1.3066744180580134</v>
      </c>
      <c r="K1147" s="1" cm="1">
        <f t="array" ref="K1147">SUMPRODUCT(("T-Plg-elc-dsl_S3"=[1]OUT_TransportEnergyCons!$A$3:$A$1000)*1,("Var_Fin"=[1]OUT_TransportEnergyCons!$B$3:$B$1000)*1,ISNUMBER(SEARCH("ELC",[1]OUT_TransportEnergyCons!$C$3:$C$1000))*1,[1]OUT_TransportEnergyCons!I$3:I$1000)</f>
        <v>0.41584027569003668</v>
      </c>
    </row>
    <row r="1148" spans="2:11" x14ac:dyDescent="0.35">
      <c r="B1148" s="5" t="str">
        <f t="shared" si="784"/>
        <v>SPS1</v>
      </c>
      <c r="C1148" s="5" t="str">
        <f t="shared" si="785"/>
        <v>CH</v>
      </c>
      <c r="D1148" t="s">
        <v>1251</v>
      </c>
      <c r="E1148" t="s">
        <v>8</v>
      </c>
      <c r="F1148" s="1" cm="1">
        <f t="array" ref="F1148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SUMPRODUCT(("T-Plg-elc-dsl_S4"=[1]OUT_TransportEnergyCons!$A$3:$A$1000)*1,("Var_Fin"=[1]OUT_TransportEnergyCons!$B$3:$B$1000)*1,ISNUMBER(SEARCH("ELC",[1]OUT_TransportEnergyCons!$C$3:$C$1000))*1,[1]OUT_TransportEnergyCons!E$3:E$1000)</f>
        <v>1.0474633856776543E-3</v>
      </c>
      <c r="H1148" s="1" cm="1">
        <f t="array" ref="H1148">SUMPRODUCT(("T-Plg-elc-dsl_S4"=[1]OUT_TransportEnergyCons!$A$3:$A$1000)*1,("Var_Fin"=[1]OUT_TransportEnergyCons!$B$3:$B$1000)*1,ISNUMBER(SEARCH("ELC",[1]OUT_TransportEnergyCons!$C$3:$C$1000))*1,[1]OUT_TransportEnergyCons!F$3:F$1000)</f>
        <v>3.2845191661025282E-4</v>
      </c>
      <c r="I1148" s="1" cm="1">
        <f t="array" ref="I1148">SUMPRODUCT(("T-Plg-elc-dsl_S4"=[1]OUT_TransportEnergyCons!$A$3:$A$1000)*1,("Var_Fin"=[1]OUT_TransportEnergyCons!$B$3:$B$1000)*1,ISNUMBER(SEARCH("ELC",[1]OUT_TransportEnergyCons!$C$3:$C$1000))*1,[1]OUT_TransportEnergyCons!G$3:G$1000)</f>
        <v>4.1120889800791069E-4</v>
      </c>
      <c r="J1148" s="1" cm="1">
        <f t="array" ref="J1148">SUMPRODUCT(("T-Plg-elc-dsl_S4"=[1]OUT_TransportEnergyCons!$A$3:$A$1000)*1,("Var_Fin"=[1]OUT_TransportEnergyCons!$B$3:$B$1000)*1,ISNUMBER(SEARCH("ELC",[1]OUT_TransportEnergyCons!$C$3:$C$1000))*1,[1]OUT_TransportEnergyCons!H$3:H$1000)</f>
        <v>1.673144981480579E-3</v>
      </c>
      <c r="K1148" s="1" cm="1">
        <f t="array" ref="K1148">SUMPRODUCT(("T-Plg-elc-dsl_S4"=[1]OUT_TransportEnergyCons!$A$3:$A$1000)*1,("Var_Fin"=[1]OUT_TransportEnergyCons!$B$3:$B$1000)*1,ISNUMBER(SEARCH("ELC",[1]OUT_TransportEnergyCons!$C$3:$C$1000))*1,[1]OUT_TransportEnergyCons!I$3:I$1000)</f>
        <v>1.5657201534708304E-4</v>
      </c>
    </row>
    <row r="1149" spans="2:11" x14ac:dyDescent="0.35">
      <c r="B1149" s="5" t="str">
        <f t="shared" si="784"/>
        <v>SPS1</v>
      </c>
      <c r="C1149" s="5" t="str">
        <f t="shared" si="785"/>
        <v>CH</v>
      </c>
      <c r="D1149" t="s">
        <v>1252</v>
      </c>
      <c r="E1149" t="s">
        <v>8</v>
      </c>
      <c r="F1149" s="1">
        <f>[1]Transport!B$32</f>
        <v>0</v>
      </c>
      <c r="G1149" s="1">
        <f>[1]Transport!C$32</f>
        <v>0</v>
      </c>
      <c r="H1149" s="1">
        <f>[1]Transport!D$32</f>
        <v>0</v>
      </c>
      <c r="I1149" s="1">
        <f>[1]Transport!E$32</f>
        <v>1.94611667195798E-2</v>
      </c>
      <c r="J1149" s="1">
        <f>[1]Transport!F$32</f>
        <v>0.72584727529464521</v>
      </c>
      <c r="K1149" s="1">
        <f>[1]Transport!G$32</f>
        <v>1.9635639087337717</v>
      </c>
    </row>
    <row r="1150" spans="2:11" x14ac:dyDescent="0.35">
      <c r="B1150" s="5" t="str">
        <f>B1144</f>
        <v>SPS1</v>
      </c>
      <c r="C1150" s="5" t="str">
        <f>C1144</f>
        <v>CH</v>
      </c>
      <c r="D1150" t="s">
        <v>1253</v>
      </c>
      <c r="E1150" t="s">
        <v>8</v>
      </c>
      <c r="F1150" s="1">
        <f>SUM(F1151:F1154)</f>
        <v>8.4466012584282282E-4</v>
      </c>
      <c r="G1150" s="1">
        <f t="shared" ref="G1150:K1150" si="786">SUM(G1151:G1154)</f>
        <v>1.99294813153667E-3</v>
      </c>
      <c r="H1150" s="1">
        <f t="shared" si="786"/>
        <v>1.9171027761210576E-3</v>
      </c>
      <c r="I1150" s="1">
        <f t="shared" si="786"/>
        <v>1.0856317781190138E-4</v>
      </c>
      <c r="J1150" s="1">
        <f t="shared" si="786"/>
        <v>7.0929136830994151E-5</v>
      </c>
      <c r="K1150" s="1">
        <f t="shared" si="786"/>
        <v>6.7839694482754479E-5</v>
      </c>
    </row>
    <row r="1151" spans="2:11" x14ac:dyDescent="0.35">
      <c r="B1151" s="5" t="str">
        <f t="shared" si="782"/>
        <v>SPS1</v>
      </c>
      <c r="C1151" s="5" t="str">
        <f t="shared" si="783"/>
        <v>CH</v>
      </c>
      <c r="D1151" t="s">
        <v>1254</v>
      </c>
      <c r="E1151" t="s">
        <v>8</v>
      </c>
      <c r="F1151" s="1" cm="1">
        <f t="array" ref="F1151">SUMPRODUCT(("T_C-FC-H2O-S1"=[1]OUT_TransportEnergyCons!$A$3:$A$1000)*1,("Var_Fin"=[1]OUT_TransportEnergyCons!$B$3:$B$1000)*1,ISNUMBER(SEARCH("H2",[1]OUT_TransportEnergyCons!$C$3:$C$1000))*1,[1]OUT_TransportEnergyCons!D$3:D$1000)</f>
        <v>0</v>
      </c>
      <c r="G1151" s="1" cm="1">
        <f t="array" ref="G1151">SUMPRODUCT(("T_C-FC-H2O-S1"=[1]OUT_TransportEnergyCons!$A$3:$A$1000)*1,("Var_Fin"=[1]OUT_TransportEnergyCons!$B$3:$B$1000)*1,ISNUMBER(SEARCH("H2",[1]OUT_TransportEnergyCons!$C$3:$C$1000))*1,[1]OUT_TransportEnergyCons!E$3:E$1000)</f>
        <v>9.5652198891710862E-6</v>
      </c>
      <c r="H1151" s="1" cm="1">
        <f t="array" ref="H1151">SUMPRODUCT(("T_C-FC-H2O-S1"=[1]OUT_TransportEnergyCons!$A$3:$A$1000)*1,("Var_Fin"=[1]OUT_TransportEnergyCons!$B$3:$B$1000)*1,ISNUMBER(SEARCH("H2",[1]OUT_TransportEnergyCons!$C$3:$C$1000))*1,[1]OUT_TransportEnergyCons!F$3:F$1000)</f>
        <v>1.4988112996442868E-5</v>
      </c>
      <c r="I1151" s="1" cm="1">
        <f t="array" ref="I1151">SUMPRODUCT(("T_C-FC-H2O-S1"=[1]OUT_TransportEnergyCons!$A$3:$A$1000)*1,("Var_Fin"=[1]OUT_TransportEnergyCons!$B$3:$B$1000)*1,ISNUMBER(SEARCH("H2",[1]OUT_TransportEnergyCons!$C$3:$C$1000))*1,[1]OUT_TransportEnergyCons!G$3:G$1000)</f>
        <v>7.3216210169639882E-6</v>
      </c>
      <c r="J1151" s="1" cm="1">
        <f t="array" ref="J1151">SUMPRODUCT(("T_C-FC-H2O-S1"=[1]OUT_TransportEnergyCons!$A$3:$A$1000)*1,("Var_Fin"=[1]OUT_TransportEnergyCons!$B$3:$B$1000)*1,ISNUMBER(SEARCH("H2",[1]OUT_TransportEnergyCons!$C$3:$C$1000))*1,[1]OUT_TransportEnergyCons!H$3:H$1000)</f>
        <v>1.1162937722552441E-5</v>
      </c>
      <c r="K1151" s="1" cm="1">
        <f t="array" ref="K1151">SUMPRODUCT(("T_C-FC-H2O-S1"=[1]OUT_TransportEnergyCons!$A$3:$A$1000)*1,("Var_Fin"=[1]OUT_TransportEnergyCons!$B$3:$B$1000)*1,ISNUMBER(SEARCH("H2",[1]OUT_TransportEnergyCons!$C$3:$C$1000))*1,[1]OUT_TransportEnergyCons!I$3:I$1000)</f>
        <v>8.276046093827892E-6</v>
      </c>
    </row>
    <row r="1152" spans="2:11" x14ac:dyDescent="0.35">
      <c r="B1152" s="5" t="str">
        <f t="shared" si="782"/>
        <v>SPS1</v>
      </c>
      <c r="C1152" s="5" t="str">
        <f t="shared" si="783"/>
        <v>CH</v>
      </c>
      <c r="D1152" t="s">
        <v>1255</v>
      </c>
      <c r="E1152" t="s">
        <v>8</v>
      </c>
      <c r="F1152" s="1" cm="1">
        <f t="array" ref="F1152">SUMPRODUCT(("T_C-FC-H2O-S2"=[1]OUT_TransportEnergyCons!$A$3:$A$1000)*1,("Var_Fin"=[1]OUT_TransportEnergyCons!$B$3:$B$1000)*1,ISNUMBER(SEARCH("H2",[1]OUT_TransportEnergyCons!$C$3:$C$1000))*1,[1]OUT_TransportEnergyCons!D$3:D$1000)</f>
        <v>8.1820406718595461E-5</v>
      </c>
      <c r="G1152" s="1" cm="1">
        <f t="array" ref="G1152">SUMPRODUCT(("T_C-FC-H2O-S2"=[1]OUT_TransportEnergyCons!$A$3:$A$1000)*1,("Var_Fin"=[1]OUT_TransportEnergyCons!$B$3:$B$1000)*1,ISNUMBER(SEARCH("H2",[1]OUT_TransportEnergyCons!$C$3:$C$1000))*1,[1]OUT_TransportEnergyCons!E$3:E$1000)</f>
        <v>1.0104591354073506E-4</v>
      </c>
      <c r="H1152" s="1" cm="1">
        <f t="array" ref="H1152">SUMPRODUCT(("T_C-FC-H2O-S2"=[1]OUT_TransportEnergyCons!$A$3:$A$1000)*1,("Var_Fin"=[1]OUT_TransportEnergyCons!$B$3:$B$1000)*1,ISNUMBER(SEARCH("H2",[1]OUT_TransportEnergyCons!$C$3:$C$1000))*1,[1]OUT_TransportEnergyCons!F$3:F$1000)</f>
        <v>1.0551947685088864E-4</v>
      </c>
      <c r="I1152" s="1" cm="1">
        <f t="array" ref="I1152">SUMPRODUCT(("T_C-FC-H2O-S2"=[1]OUT_TransportEnergyCons!$A$3:$A$1000)*1,("Var_Fin"=[1]OUT_TransportEnergyCons!$B$3:$B$1000)*1,ISNUMBER(SEARCH("H2",[1]OUT_TransportEnergyCons!$C$3:$C$1000))*1,[1]OUT_TransportEnergyCons!G$3:G$1000)</f>
        <v>2.4930157610210426E-5</v>
      </c>
      <c r="J1152" s="1" cm="1">
        <f t="array" ref="J1152">SUMPRODUCT(("T_C-FC-H2O-S2"=[1]OUT_TransportEnergyCons!$A$3:$A$1000)*1,("Var_Fin"=[1]OUT_TransportEnergyCons!$B$3:$B$1000)*1,ISNUMBER(SEARCH("H2",[1]OUT_TransportEnergyCons!$C$3:$C$1000))*1,[1]OUT_TransportEnergyCons!H$3:H$1000)</f>
        <v>1.8694137127647268E-5</v>
      </c>
      <c r="K1152" s="1" cm="1">
        <f t="array" ref="K1152">SUMPRODUCT(("T_C-FC-H2O-S2"=[1]OUT_TransportEnergyCons!$A$3:$A$1000)*1,("Var_Fin"=[1]OUT_TransportEnergyCons!$B$3:$B$1000)*1,ISNUMBER(SEARCH("H2",[1]OUT_TransportEnergyCons!$C$3:$C$1000))*1,[1]OUT_TransportEnergyCons!I$3:I$1000)</f>
        <v>1.6472098605000183E-5</v>
      </c>
    </row>
    <row r="1153" spans="2:11" x14ac:dyDescent="0.35">
      <c r="B1153" s="5" t="str">
        <f t="shared" si="782"/>
        <v>SPS1</v>
      </c>
      <c r="C1153" s="5" t="str">
        <f t="shared" si="783"/>
        <v>CH</v>
      </c>
      <c r="D1153" t="s">
        <v>1256</v>
      </c>
      <c r="E1153" t="s">
        <v>8</v>
      </c>
      <c r="F1153" s="1" cm="1">
        <f t="array" ref="F1153">SUMPRODUCT(("T_C-FC-H2O-S3"=[1]OUT_TransportEnergyCons!$A$3:$A$1000)*1,("Var_Fin"=[1]OUT_TransportEnergyCons!$B$3:$B$1000)*1,ISNUMBER(SEARCH("H2",[1]OUT_TransportEnergyCons!$C$3:$C$1000))*1,[1]OUT_TransportEnergyCons!D$3:D$1000)</f>
        <v>7.6283971912422736E-4</v>
      </c>
      <c r="G1153" s="1" cm="1">
        <f t="array" ref="G1153">SUMPRODUCT(("T_C-FC-H2O-S3"=[1]OUT_TransportEnergyCons!$A$3:$A$1000)*1,("Var_Fin"=[1]OUT_TransportEnergyCons!$B$3:$B$1000)*1,ISNUMBER(SEARCH("H2",[1]OUT_TransportEnergyCons!$C$3:$C$1000))*1,[1]OUT_TransportEnergyCons!E$3:E$1000)</f>
        <v>1.8708833920934053E-3</v>
      </c>
      <c r="H1153" s="1" cm="1">
        <f t="array" ref="H1153">SUMPRODUCT(("T_C-FC-H2O-S3"=[1]OUT_TransportEnergyCons!$A$3:$A$1000)*1,("Var_Fin"=[1]OUT_TransportEnergyCons!$B$3:$B$1000)*1,ISNUMBER(SEARCH("H2",[1]OUT_TransportEnergyCons!$C$3:$C$1000))*1,[1]OUT_TransportEnergyCons!F$3:F$1000)</f>
        <v>1.7767491829773089E-3</v>
      </c>
      <c r="I1153" s="1" cm="1">
        <f t="array" ref="I1153">SUMPRODUCT(("T_C-FC-H2O-S3"=[1]OUT_TransportEnergyCons!$A$3:$A$1000)*1,("Var_Fin"=[1]OUT_TransportEnergyCons!$B$3:$B$1000)*1,ISNUMBER(SEARCH("H2",[1]OUT_TransportEnergyCons!$C$3:$C$1000))*1,[1]OUT_TransportEnergyCons!G$3:G$1000)</f>
        <v>5.7784825605953287E-5</v>
      </c>
      <c r="J1153" s="1" cm="1">
        <f t="array" ref="J1153">SUMPRODUCT(("T_C-FC-H2O-S3"=[1]OUT_TransportEnergyCons!$A$3:$A$1000)*1,("Var_Fin"=[1]OUT_TransportEnergyCons!$B$3:$B$1000)*1,ISNUMBER(SEARCH("H2",[1]OUT_TransportEnergyCons!$C$3:$C$1000))*1,[1]OUT_TransportEnergyCons!H$3:H$1000)</f>
        <v>2.0270736902033565E-5</v>
      </c>
      <c r="K1153" s="1" cm="1">
        <f t="array" ref="K1153">SUMPRODUCT(("T_C-FC-H2O-S3"=[1]OUT_TransportEnergyCons!$A$3:$A$1000)*1,("Var_Fin"=[1]OUT_TransportEnergyCons!$B$3:$B$1000)*1,ISNUMBER(SEARCH("H2",[1]OUT_TransportEnergyCons!$C$3:$C$1000))*1,[1]OUT_TransportEnergyCons!I$3:I$1000)</f>
        <v>2.0776939230655129E-5</v>
      </c>
    </row>
    <row r="1154" spans="2:11" x14ac:dyDescent="0.35">
      <c r="B1154" s="5" t="str">
        <f t="shared" si="782"/>
        <v>SPS1</v>
      </c>
      <c r="C1154" s="5" t="str">
        <f t="shared" si="783"/>
        <v>CH</v>
      </c>
      <c r="D1154" t="s">
        <v>1257</v>
      </c>
      <c r="E1154" t="s">
        <v>8</v>
      </c>
      <c r="F1154" s="1" cm="1">
        <f t="array" ref="F1154">SUMPRODUCT(("T_C-FC-H2O-S4"=[1]OUT_TransportEnergyCons!$A$3:$A$1000)*1,("Var_Fin"=[1]OUT_TransportEnergyCons!$B$3:$B$1000)*1,ISNUMBER(SEARCH("H2",[1]OUT_TransportEnergyCons!$C$3:$C$1000))*1,[1]OUT_TransportEnergyCons!D$3:D$1000)</f>
        <v>0</v>
      </c>
      <c r="G1154" s="1" cm="1">
        <f t="array" ref="G1154">SUMPRODUCT(("T_C-FC-H2O-S4"=[1]OUT_TransportEnergyCons!$A$3:$A$1000)*1,("Var_Fin"=[1]OUT_TransportEnergyCons!$B$3:$B$1000)*1,ISNUMBER(SEARCH("H2",[1]OUT_TransportEnergyCons!$C$3:$C$1000))*1,[1]OUT_TransportEnergyCons!E$3:E$1000)</f>
        <v>1.145360601335868E-5</v>
      </c>
      <c r="H1154" s="1" cm="1">
        <f t="array" ref="H1154">SUMPRODUCT(("T_C-FC-H2O-S4"=[1]OUT_TransportEnergyCons!$A$3:$A$1000)*1,("Var_Fin"=[1]OUT_TransportEnergyCons!$B$3:$B$1000)*1,ISNUMBER(SEARCH("H2",[1]OUT_TransportEnergyCons!$C$3:$C$1000))*1,[1]OUT_TransportEnergyCons!F$3:F$1000)</f>
        <v>1.9846003296417134E-5</v>
      </c>
      <c r="I1154" s="1" cm="1">
        <f t="array" ref="I1154">SUMPRODUCT(("T_C-FC-H2O-S4"=[1]OUT_TransportEnergyCons!$A$3:$A$1000)*1,("Var_Fin"=[1]OUT_TransportEnergyCons!$B$3:$B$1000)*1,ISNUMBER(SEARCH("H2",[1]OUT_TransportEnergyCons!$C$3:$C$1000))*1,[1]OUT_TransportEnergyCons!G$3:G$1000)</f>
        <v>1.8526573578773682E-5</v>
      </c>
      <c r="J1154" s="1" cm="1">
        <f t="array" ref="J1154">SUMPRODUCT(("T_C-FC-H2O-S4"=[1]OUT_TransportEnergyCons!$A$3:$A$1000)*1,("Var_Fin"=[1]OUT_TransportEnergyCons!$B$3:$B$1000)*1,ISNUMBER(SEARCH("H2",[1]OUT_TransportEnergyCons!$C$3:$C$1000))*1,[1]OUT_TransportEnergyCons!H$3:H$1000)</f>
        <v>2.0801325078760869E-5</v>
      </c>
      <c r="K1154" s="1" cm="1">
        <f t="array" ref="K1154">SUMPRODUCT(("T_C-FC-H2O-S4"=[1]OUT_TransportEnergyCons!$A$3:$A$1000)*1,("Var_Fin"=[1]OUT_TransportEnergyCons!$B$3:$B$1000)*1,ISNUMBER(SEARCH("H2",[1]OUT_TransportEnergyCons!$C$3:$C$1000))*1,[1]OUT_TransportEnergyCons!I$3:I$1000)</f>
        <v>2.2314610553271271E-5</v>
      </c>
    </row>
    <row r="1155" spans="2:11" x14ac:dyDescent="0.35">
      <c r="B1155" s="5" t="str">
        <f t="shared" si="782"/>
        <v>SPS1</v>
      </c>
      <c r="C1155" s="5" t="str">
        <f t="shared" si="783"/>
        <v>CH</v>
      </c>
      <c r="D1155" t="s">
        <v>1258</v>
      </c>
      <c r="E1155" t="s">
        <v>8</v>
      </c>
      <c r="F1155" s="1">
        <f>SUM(F1160:F1177)</f>
        <v>77.889593523722993</v>
      </c>
      <c r="G1155" s="1">
        <f t="shared" ref="G1155:K1155" si="787">SUM(G1160:G1177)</f>
        <v>73.714779212208128</v>
      </c>
      <c r="H1155" s="1">
        <f t="shared" si="787"/>
        <v>71.675365468599935</v>
      </c>
      <c r="I1155" s="1">
        <f t="shared" si="787"/>
        <v>41.955659243493933</v>
      </c>
      <c r="J1155" s="1">
        <f t="shared" si="787"/>
        <v>7.8725492215189004</v>
      </c>
      <c r="K1155" s="1">
        <f t="shared" si="787"/>
        <v>0.83763535174995607</v>
      </c>
    </row>
    <row r="1156" spans="2:11" x14ac:dyDescent="0.35">
      <c r="B1156" s="5" t="str">
        <f>B1155</f>
        <v>SPS1</v>
      </c>
      <c r="C1156" s="5" t="str">
        <f t="shared" si="783"/>
        <v>CH</v>
      </c>
      <c r="D1156" t="s">
        <v>1259</v>
      </c>
      <c r="E1156" t="str">
        <f>E1155</f>
        <v>PJ/yr.</v>
      </c>
      <c r="F1156" s="1">
        <f>F1155-F1157</f>
        <v>73.625863369783332</v>
      </c>
      <c r="G1156" s="1">
        <f t="shared" ref="G1156:K1156" si="788">G1155-G1157</f>
        <v>69.679452593900834</v>
      </c>
      <c r="H1156" s="1">
        <f t="shared" si="788"/>
        <v>67.751819048714907</v>
      </c>
      <c r="I1156" s="1">
        <f t="shared" si="788"/>
        <v>39.6577506776623</v>
      </c>
      <c r="J1156" s="1">
        <f t="shared" si="788"/>
        <v>4.8567634544918183</v>
      </c>
      <c r="K1156" s="1">
        <f t="shared" si="788"/>
        <v>-1.8748281905270892E-3</v>
      </c>
    </row>
    <row r="1157" spans="2:11" x14ac:dyDescent="0.35">
      <c r="B1157" s="5" t="str">
        <f t="shared" ref="B1157:B1159" si="789">B1156</f>
        <v>SPS1</v>
      </c>
      <c r="C1157" s="5" t="str">
        <f t="shared" si="783"/>
        <v>CH</v>
      </c>
      <c r="D1157" t="s">
        <v>1260</v>
      </c>
      <c r="E1157" t="str">
        <f>E1156</f>
        <v>PJ/yr.</v>
      </c>
      <c r="F1157" s="1">
        <f>SUM(F1158:F1159)</f>
        <v>4.2637301539396653</v>
      </c>
      <c r="G1157" s="1">
        <f t="shared" ref="G1157" si="790">SUM(G1158:G1159)</f>
        <v>4.0353266183072938</v>
      </c>
      <c r="H1157" s="1">
        <f t="shared" ref="H1157" si="791">SUM(H1158:H1159)</f>
        <v>3.9235464198850325</v>
      </c>
      <c r="I1157" s="1">
        <f t="shared" ref="I1157" si="792">SUM(I1158:I1159)</f>
        <v>2.2979085658316358</v>
      </c>
      <c r="J1157" s="1">
        <f t="shared" ref="J1157" si="793">SUM(J1158:J1159)</f>
        <v>3.015785767027082</v>
      </c>
      <c r="K1157" s="1">
        <f t="shared" ref="K1157" si="794">SUM(K1158:K1159)</f>
        <v>0.83951017994048316</v>
      </c>
    </row>
    <row r="1158" spans="2:11" x14ac:dyDescent="0.35">
      <c r="B1158" s="5" t="str">
        <f t="shared" si="789"/>
        <v>SPS1</v>
      </c>
      <c r="C1158" s="5" t="str">
        <f t="shared" si="783"/>
        <v>CH</v>
      </c>
      <c r="D1158" t="s">
        <v>1261</v>
      </c>
      <c r="E1158" t="str">
        <f>E1157</f>
        <v>PJ/yr.</v>
      </c>
      <c r="F1158" s="1">
        <f>[1]Transport!B$25/SUM([1]Transport!B$21,[1]Transport!B$25)*F1155*(F$34+F$598)/(F$34+F$598+F$37)</f>
        <v>4.2637301539396653</v>
      </c>
      <c r="G1158" s="1">
        <f>[1]Transport!C$25/SUM([1]Transport!C$21,[1]Transport!C$25)*G1155*(G$34+G$598)/(G$34+G$598+G$37)</f>
        <v>4.0353266183072938</v>
      </c>
      <c r="H1158" s="1">
        <f>[1]Transport!D$25/SUM([1]Transport!D$21,[1]Transport!D$25)*H1155*(H$34+H$598)/(H$34+H$598+H$37)</f>
        <v>3.9235464198850325</v>
      </c>
      <c r="I1158" s="1">
        <f>[1]Transport!E$25/SUM([1]Transport!E$21,[1]Transport!E$25)*I1155*(I$34+I$598)/(I$34+I$598+I$37)</f>
        <v>2.2979085658316358</v>
      </c>
      <c r="J1158" s="1">
        <f>[1]Transport!F$25/SUM([1]Transport!F$21,[1]Transport!F$25)*J1155*(J$34+J$598)/(J$34+J$598+J$37)</f>
        <v>2.9474015958416322</v>
      </c>
      <c r="K1158" s="1">
        <f>[1]Transport!G$25/SUM([1]Transport!G$21,[1]Transport!G$25)*K1155*(K$34+K$598)/(K$34+K$598+K$37)</f>
        <v>0.71197008124125649</v>
      </c>
    </row>
    <row r="1159" spans="2:11" x14ac:dyDescent="0.35">
      <c r="B1159" s="5" t="str">
        <f t="shared" si="789"/>
        <v>SPS1</v>
      </c>
      <c r="C1159" s="5" t="str">
        <f t="shared" si="783"/>
        <v>CH</v>
      </c>
      <c r="D1159" t="s">
        <v>1262</v>
      </c>
      <c r="E1159" t="str">
        <f>E1158</f>
        <v>PJ/yr.</v>
      </c>
      <c r="F1159" s="1">
        <f>(F$37+F$717)/([1]Transport!B$21+[1]Transport!B$25)*F1155</f>
        <v>0</v>
      </c>
      <c r="G1159" s="1">
        <f>(G$37+G$717)/([1]Transport!C$21+[1]Transport!C$25)*G1155</f>
        <v>0</v>
      </c>
      <c r="H1159" s="1">
        <f>(H$37+H$717)/([1]Transport!D$21+[1]Transport!D$25)*H1155</f>
        <v>0</v>
      </c>
      <c r="I1159" s="1">
        <f>(I$37+I$717)/([1]Transport!E$21+[1]Transport!E$25)*I1155</f>
        <v>0</v>
      </c>
      <c r="J1159" s="1">
        <f>(J$37+J$717)/([1]Transport!F$21+[1]Transport!F$25)*J1155</f>
        <v>6.8384171185450024E-2</v>
      </c>
      <c r="K1159" s="1">
        <f>(K$37+K$717)/([1]Transport!G$21+[1]Transport!G$25)*K1155</f>
        <v>0.12754009869922669</v>
      </c>
    </row>
    <row r="1160" spans="2:11" x14ac:dyDescent="0.35">
      <c r="B1160" s="5" t="str">
        <f>B1155</f>
        <v>SPS1</v>
      </c>
      <c r="C1160" s="5" t="str">
        <f>C1155</f>
        <v>CH</v>
      </c>
      <c r="D1160" t="s">
        <v>1263</v>
      </c>
      <c r="E1160" t="s">
        <v>8</v>
      </c>
      <c r="F1160" s="1" cm="1">
        <f t="array" ref="F1160">SUMPRODUCT(("T_C-HYBGSLEXT"=[1]OUT_TransportEnergyCons!$A$3:$A$1000)*1,("Var_Fin"=[1]OUT_TransportEnergyCons!$B$3:$B$1000)*1,ISNUMBER(SEARCH("GSL",[1]OUT_TransportEnergyCons!$C$3:$C$1000))*1,[1]OUT_TransportEnergyCons!D$3:D$1000)</f>
        <v>1.2540662604043584</v>
      </c>
      <c r="G1160" s="1" cm="1">
        <f t="array" ref="G1160">SUMPRODUCT(("T_C-HYBGSLEXT"=[1]OUT_TransportEnergyCons!$A$3:$A$1000)*1,("Var_Fin"=[1]OUT_TransportEnergyCons!$B$3:$B$1000)*1,ISNUMBER(SEARCH("GSL",[1]OUT_TransportEnergyCons!$C$3:$C$1000))*1,[1]OUT_TransportEnergyCons!E$3:E$1000)</f>
        <v>1.242880498565015</v>
      </c>
      <c r="H1160" s="1" cm="1">
        <f t="array" ref="H1160">SUMPRODUCT(("T_C-HYBGSLEXT"=[1]OUT_TransportEnergyCons!$A$3:$A$1000)*1,("Var_Fin"=[1]OUT_TransportEnergyCons!$B$3:$B$1000)*1,ISNUMBER(SEARCH("GSL",[1]OUT_TransportEnergyCons!$C$3:$C$1000))*1,[1]OUT_TransportEnergyCons!F$3:F$1000)</f>
        <v>0.92518317746194445</v>
      </c>
      <c r="I1160" s="1" cm="1">
        <f t="array" ref="I1160">SUMPRODUCT(("T_C-HYBGSLEXT"=[1]OUT_TransportEnergyCons!$A$3:$A$1000)*1,("Var_Fin"=[1]OUT_TransportEnergyCons!$B$3:$B$1000)*1,ISNUMBER(SEARCH("GSL",[1]OUT_TransportEnergyCons!$C$3:$C$1000))*1,[1]OUT_TransportEnergyCons!G$3:G$1000)</f>
        <v>0.43896437585821274</v>
      </c>
      <c r="J1160" s="1" cm="1">
        <f t="array" ref="J1160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0" s="1" cm="1">
        <f t="array" ref="K1160">SUMPRODUCT(("T_C-HYBGSLEXT"=[1]OUT_TransportEnergyCons!$A$3:$A$1000)*1,("Var_Fin"=[1]OUT_TransportEnergyCons!$B$3:$B$1000)*1,ISNUMBER(SEARCH("GSL",[1]OUT_TransportEnergyCons!$C$3:$C$1000))*1,[1]OUT_TransportEnergyCons!I$3:I$1000)</f>
        <v>0</v>
      </c>
    </row>
    <row r="1161" spans="2:11" x14ac:dyDescent="0.35">
      <c r="B1161" s="5" t="str">
        <f t="shared" si="782"/>
        <v>SPS1</v>
      </c>
      <c r="C1161" s="5" t="str">
        <f t="shared" si="783"/>
        <v>CH</v>
      </c>
      <c r="D1161" t="s">
        <v>1264</v>
      </c>
      <c r="E1161" t="s">
        <v>8</v>
      </c>
      <c r="F1161" s="1" cm="1">
        <f t="array" ref="F1161">SUMPRODUCT(("T_C-HY-GSL-S1"=[1]OUT_TransportEnergyCons!$A$3:$A$1000)*1,("Var_Fin"=[1]OUT_TransportEnergyCons!$B$3:$B$1000)*1,ISNUMBER(SEARCH("GSL",[1]OUT_TransportEnergyCons!$C$3:$C$1000))*1,[1]OUT_TransportEnergyCons!D$3:D$1000)</f>
        <v>4.6086606163143987E-2</v>
      </c>
      <c r="G1161" s="1" cm="1">
        <f t="array" ref="G1161">SUMPRODUCT(("T_C-HY-GSL-S1"=[1]OUT_TransportEnergyCons!$A$3:$A$1000)*1,("Var_Fin"=[1]OUT_TransportEnergyCons!$B$3:$B$1000)*1,ISNUMBER(SEARCH("GSL",[1]OUT_TransportEnergyCons!$C$3:$C$1000))*1,[1]OUT_TransportEnergyCons!E$3:E$1000)</f>
        <v>5.3891749804441356E-2</v>
      </c>
      <c r="H1161" s="1" cm="1">
        <f t="array" ref="H1161">SUMPRODUCT(("T_C-HY-GSL-S1"=[1]OUT_TransportEnergyCons!$A$3:$A$1000)*1,("Var_Fin"=[1]OUT_TransportEnergyCons!$B$3:$B$1000)*1,ISNUMBER(SEARCH("GSL",[1]OUT_TransportEnergyCons!$C$3:$C$1000))*1,[1]OUT_TransportEnergyCons!F$3:F$1000)</f>
        <v>3.8590135435712651E-2</v>
      </c>
      <c r="I1161" s="1" cm="1">
        <f t="array" ref="I1161">SUMPRODUCT(("T_C-HY-GSL-S1"=[1]OUT_TransportEnergyCons!$A$3:$A$1000)*1,("Var_Fin"=[1]OUT_TransportEnergyCons!$B$3:$B$1000)*1,ISNUMBER(SEARCH("GSL",[1]OUT_TransportEnergyCons!$C$3:$C$1000))*1,[1]OUT_TransportEnergyCons!G$3:G$1000)</f>
        <v>2.9895369569831586E-2</v>
      </c>
      <c r="J1161" s="1" cm="1">
        <f t="array" ref="J1161">SUMPRODUCT(("T_C-HY-GSL-S1"=[1]OUT_TransportEnergyCons!$A$3:$A$1000)*1,("Var_Fin"=[1]OUT_TransportEnergyCons!$B$3:$B$1000)*1,ISNUMBER(SEARCH("GSL",[1]OUT_TransportEnergyCons!$C$3:$C$1000))*1,[1]OUT_TransportEnergyCons!H$3:H$1000)</f>
        <v>2.1696469067827991E-4</v>
      </c>
      <c r="K1161" s="1" cm="1">
        <f t="array" ref="K1161">SUMPRODUCT(("T_C-HY-GSL-S1"=[1]OUT_TransportEnergyCons!$A$3:$A$1000)*1,("Var_Fin"=[1]OUT_TransportEnergyCons!$B$3:$B$1000)*1,ISNUMBER(SEARCH("GSL",[1]OUT_TransportEnergyCons!$C$3:$C$1000))*1,[1]OUT_TransportEnergyCons!I$3:I$1000)</f>
        <v>0</v>
      </c>
    </row>
    <row r="1162" spans="2:11" x14ac:dyDescent="0.35">
      <c r="B1162" s="5" t="str">
        <f t="shared" si="782"/>
        <v>SPS1</v>
      </c>
      <c r="C1162" s="5" t="str">
        <f t="shared" si="783"/>
        <v>CH</v>
      </c>
      <c r="D1162" t="s">
        <v>1265</v>
      </c>
      <c r="E1162" t="s">
        <v>8</v>
      </c>
      <c r="F1162" s="1" cm="1">
        <f t="array" ref="F1162">SUMPRODUCT(("T_C-HY-GSL-S2"=[1]OUT_TransportEnergyCons!$A$3:$A$1000)*1,("Var_Fin"=[1]OUT_TransportEnergyCons!$B$3:$B$1000)*1,ISNUMBER(SEARCH("GSL",[1]OUT_TransportEnergyCons!$C$3:$C$1000))*1,[1]OUT_TransportEnergyCons!D$3:D$1000)</f>
        <v>0.13738033739098807</v>
      </c>
      <c r="G1162" s="1" cm="1">
        <f t="array" ref="G1162">SUMPRODUCT(("T_C-HY-GSL-S2"=[1]OUT_TransportEnergyCons!$A$3:$A$1000)*1,("Var_Fin"=[1]OUT_TransportEnergyCons!$B$3:$B$1000)*1,ISNUMBER(SEARCH("GSL",[1]OUT_TransportEnergyCons!$C$3:$C$1000))*1,[1]OUT_TransportEnergyCons!E$3:E$1000)</f>
        <v>0.41234478848210004</v>
      </c>
      <c r="H1162" s="1" cm="1">
        <f t="array" ref="H1162">SUMPRODUCT(("T_C-HY-GSL-S2"=[1]OUT_TransportEnergyCons!$A$3:$A$1000)*1,("Var_Fin"=[1]OUT_TransportEnergyCons!$B$3:$B$1000)*1,ISNUMBER(SEARCH("GSL",[1]OUT_TransportEnergyCons!$C$3:$C$1000))*1,[1]OUT_TransportEnergyCons!F$3:F$1000)</f>
        <v>0.6744342314244901</v>
      </c>
      <c r="I1162" s="1" cm="1">
        <f t="array" ref="I1162">SUMPRODUCT(("T_C-HY-GSL-S2"=[1]OUT_TransportEnergyCons!$A$3:$A$1000)*1,("Var_Fin"=[1]OUT_TransportEnergyCons!$B$3:$B$1000)*1,ISNUMBER(SEARCH("GSL",[1]OUT_TransportEnergyCons!$C$3:$C$1000))*1,[1]OUT_TransportEnergyCons!G$3:G$1000)</f>
        <v>0.56842466599929664</v>
      </c>
      <c r="J1162" s="1" cm="1">
        <f t="array" ref="J1162">SUMPRODUCT(("T_C-HY-GSL-S2"=[1]OUT_TransportEnergyCons!$A$3:$A$1000)*1,("Var_Fin"=[1]OUT_TransportEnergyCons!$B$3:$B$1000)*1,ISNUMBER(SEARCH("GSL",[1]OUT_TransportEnergyCons!$C$3:$C$1000))*1,[1]OUT_TransportEnergyCons!H$3:H$1000)</f>
        <v>1.8389083699608313E-2</v>
      </c>
      <c r="K1162" s="1" cm="1">
        <f t="array" ref="K1162">SUMPRODUCT(("T_C-HY-GSL-S2"=[1]OUT_TransportEnergyCons!$A$3:$A$1000)*1,("Var_Fin"=[1]OUT_TransportEnergyCons!$B$3:$B$1000)*1,ISNUMBER(SEARCH("GSL",[1]OUT_TransportEnergyCons!$C$3:$C$1000))*1,[1]OUT_TransportEnergyCons!I$3:I$1000)</f>
        <v>0</v>
      </c>
    </row>
    <row r="1163" spans="2:11" x14ac:dyDescent="0.35">
      <c r="B1163" s="5" t="str">
        <f t="shared" si="782"/>
        <v>SPS1</v>
      </c>
      <c r="C1163" s="5" t="str">
        <f t="shared" si="783"/>
        <v>CH</v>
      </c>
      <c r="D1163" t="s">
        <v>1266</v>
      </c>
      <c r="E1163" t="s">
        <v>8</v>
      </c>
      <c r="F1163" s="1" cm="1">
        <f t="array" ref="F1163">SUMPRODUCT(("T_C-HY-GSL-S3"=[1]OUT_TransportEnergyCons!$A$3:$A$1000)*1,("Var_Fin"=[1]OUT_TransportEnergyCons!$B$3:$B$1000)*1,ISNUMBER(SEARCH("GSL",[1]OUT_TransportEnergyCons!$C$3:$C$1000))*1,[1]OUT_TransportEnergyCons!D$3:D$1000)</f>
        <v>0.10195801333048257</v>
      </c>
      <c r="G1163" s="1" cm="1">
        <f t="array" ref="G1163">SUMPRODUCT(("T_C-HY-GSL-S3"=[1]OUT_TransportEnergyCons!$A$3:$A$1000)*1,("Var_Fin"=[1]OUT_TransportEnergyCons!$B$3:$B$1000)*1,ISNUMBER(SEARCH("GSL",[1]OUT_TransportEnergyCons!$C$3:$C$1000))*1,[1]OUT_TransportEnergyCons!E$3:E$1000)</f>
        <v>1.2137616925195494</v>
      </c>
      <c r="H1163" s="1" cm="1">
        <f t="array" ref="H1163">SUMPRODUCT(("T_C-HY-GSL-S3"=[1]OUT_TransportEnergyCons!$A$3:$A$1000)*1,("Var_Fin"=[1]OUT_TransportEnergyCons!$B$3:$B$1000)*1,ISNUMBER(SEARCH("GSL",[1]OUT_TransportEnergyCons!$C$3:$C$1000))*1,[1]OUT_TransportEnergyCons!F$3:F$1000)</f>
        <v>1.1479336958804893</v>
      </c>
      <c r="I1163" s="1" cm="1">
        <f t="array" ref="I1163">SUMPRODUCT(("T_C-HY-GSL-S3"=[1]OUT_TransportEnergyCons!$A$3:$A$1000)*1,("Var_Fin"=[1]OUT_TransportEnergyCons!$B$3:$B$1000)*1,ISNUMBER(SEARCH("GSL",[1]OUT_TransportEnergyCons!$C$3:$C$1000))*1,[1]OUT_TransportEnergyCons!G$3:G$1000)</f>
        <v>0.91796964902346356</v>
      </c>
      <c r="J1163" s="1" cm="1">
        <f t="array" ref="J1163">SUMPRODUCT(("T_C-HY-GSL-S3"=[1]OUT_TransportEnergyCons!$A$3:$A$1000)*1,("Var_Fin"=[1]OUT_TransportEnergyCons!$B$3:$B$1000)*1,ISNUMBER(SEARCH("GSL",[1]OUT_TransportEnergyCons!$C$3:$C$1000))*1,[1]OUT_TransportEnergyCons!H$3:H$1000)</f>
        <v>6.7871272839899763E-5</v>
      </c>
      <c r="K1163" s="1" cm="1">
        <f t="array" ref="K1163">SUMPRODUCT(("T_C-HY-GSL-S3"=[1]OUT_TransportEnergyCons!$A$3:$A$1000)*1,("Var_Fin"=[1]OUT_TransportEnergyCons!$B$3:$B$1000)*1,ISNUMBER(SEARCH("GSL",[1]OUT_TransportEnergyCons!$C$3:$C$1000))*1,[1]OUT_TransportEnergyCons!I$3:I$1000)</f>
        <v>0</v>
      </c>
    </row>
    <row r="1164" spans="2:11" x14ac:dyDescent="0.35">
      <c r="B1164" s="5" t="str">
        <f t="shared" si="782"/>
        <v>SPS1</v>
      </c>
      <c r="C1164" s="5" t="str">
        <f t="shared" si="783"/>
        <v>CH</v>
      </c>
      <c r="D1164" t="s">
        <v>1267</v>
      </c>
      <c r="E1164" t="s">
        <v>8</v>
      </c>
      <c r="F1164" s="1" cm="1">
        <f t="array" ref="F1164">SUMPRODUCT(("T_C-HY-GSL-S4"=[1]OUT_TransportEnergyCons!$A$3:$A$1000)*1,("Var_Fin"=[1]OUT_TransportEnergyCons!$B$3:$B$1000)*1,ISNUMBER(SEARCH("GSL",[1]OUT_TransportEnergyCons!$C$3:$C$1000))*1,[1]OUT_TransportEnergyCons!D$3:D$1000)</f>
        <v>9.0719082522684416E-2</v>
      </c>
      <c r="G1164" s="1" cm="1">
        <f t="array" ref="G1164">SUMPRODUCT(("T_C-HY-GSL-S4"=[1]OUT_TransportEnergyCons!$A$3:$A$1000)*1,("Var_Fin"=[1]OUT_TransportEnergyCons!$B$3:$B$1000)*1,ISNUMBER(SEARCH("GSL",[1]OUT_TransportEnergyCons!$C$3:$C$1000))*1,[1]OUT_TransportEnergyCons!E$3:E$1000)</f>
        <v>0.13531264827921419</v>
      </c>
      <c r="H1164" s="1" cm="1">
        <f t="array" ref="H1164">SUMPRODUCT(("T_C-HY-GSL-S4"=[1]OUT_TransportEnergyCons!$A$3:$A$1000)*1,("Var_Fin"=[1]OUT_TransportEnergyCons!$B$3:$B$1000)*1,ISNUMBER(SEARCH("GSL",[1]OUT_TransportEnergyCons!$C$3:$C$1000))*1,[1]OUT_TransportEnergyCons!F$3:F$1000)</f>
        <v>0.12724473694338406</v>
      </c>
      <c r="I1164" s="1" cm="1">
        <f t="array" ref="I1164">SUMPRODUCT(("T_C-HY-GSL-S4"=[1]OUT_TransportEnergyCons!$A$3:$A$1000)*1,("Var_Fin"=[1]OUT_TransportEnergyCons!$B$3:$B$1000)*1,ISNUMBER(SEARCH("GSL",[1]OUT_TransportEnergyCons!$C$3:$C$1000))*1,[1]OUT_TransportEnergyCons!G$3:G$1000)</f>
        <v>0.10787418431877399</v>
      </c>
      <c r="J1164" s="1" cm="1">
        <f t="array" ref="J1164">SUMPRODUCT(("T_C-HY-GSL-S4"=[1]OUT_TransportEnergyCons!$A$3:$A$1000)*1,("Var_Fin"=[1]OUT_TransportEnergyCons!$B$3:$B$1000)*1,ISNUMBER(SEARCH("GSL",[1]OUT_TransportEnergyCons!$C$3:$C$1000))*1,[1]OUT_TransportEnergyCons!H$3:H$1000)</f>
        <v>7.7380283003626089E-5</v>
      </c>
      <c r="K1164" s="1" cm="1">
        <f t="array" ref="K1164">SUMPRODUCT(("T_C-HY-GSL-S4"=[1]OUT_TransportEnergyCons!$A$3:$A$1000)*1,("Var_Fin"=[1]OUT_TransportEnergyCons!$B$3:$B$1000)*1,ISNUMBER(SEARCH("GSL",[1]OUT_TransportEnergyCons!$C$3:$C$1000))*1,[1]OUT_TransportEnergyCons!I$3:I$1000)</f>
        <v>0</v>
      </c>
    </row>
    <row r="1165" spans="2:11" x14ac:dyDescent="0.35">
      <c r="B1165" s="5" t="str">
        <f t="shared" si="782"/>
        <v>SPS1</v>
      </c>
      <c r="C1165" s="5" t="str">
        <f t="shared" si="783"/>
        <v>CH</v>
      </c>
      <c r="D1165" t="s">
        <v>1268</v>
      </c>
      <c r="E1165" t="s">
        <v>8</v>
      </c>
      <c r="F1165" s="1" cm="1">
        <f t="array" ref="F1165">SUMPRODUCT(("T_C-ICEGSLEXT"=[1]OUT_TransportEnergyCons!$A$3:$A$1000)*1,("Var_Fin"=[1]OUT_TransportEnergyCons!$B$3:$B$1000)*1,ISNUMBER(SEARCH("GSL",[1]OUT_TransportEnergyCons!$C$3:$C$1000))*1,[1]OUT_TransportEnergyCons!D$3:D$1000)</f>
        <v>63.987649194298903</v>
      </c>
      <c r="G1165" s="1" cm="1">
        <f t="array" ref="G1165">SUMPRODUCT(("T_C-ICEGSLEXT"=[1]OUT_TransportEnergyCons!$A$3:$A$1000)*1,("Var_Fin"=[1]OUT_TransportEnergyCons!$B$3:$B$1000)*1,ISNUMBER(SEARCH("GSL",[1]OUT_TransportEnergyCons!$C$3:$C$1000))*1,[1]OUT_TransportEnergyCons!E$3:E$1000)</f>
        <v>52.347196570858827</v>
      </c>
      <c r="H1165" s="1" cm="1">
        <f t="array" ref="H1165">SUMPRODUCT(("T_C-ICEGSLEXT"=[1]OUT_TransportEnergyCons!$A$3:$A$1000)*1,("Var_Fin"=[1]OUT_TransportEnergyCons!$B$3:$B$1000)*1,ISNUMBER(SEARCH("GSL",[1]OUT_TransportEnergyCons!$C$3:$C$1000))*1,[1]OUT_TransportEnergyCons!F$3:F$1000)</f>
        <v>42.855806935188248</v>
      </c>
      <c r="I1165" s="1" cm="1">
        <f t="array" ref="I1165">SUMPRODUCT(("T_C-ICEGSLEXT"=[1]OUT_TransportEnergyCons!$A$3:$A$1000)*1,("Var_Fin"=[1]OUT_TransportEnergyCons!$B$3:$B$1000)*1,ISNUMBER(SEARCH("GSL",[1]OUT_TransportEnergyCons!$C$3:$C$1000))*1,[1]OUT_TransportEnergyCons!G$3:G$1000)</f>
        <v>12.774798077233941</v>
      </c>
      <c r="J1165" s="1" cm="1">
        <f t="array" ref="J1165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5" s="1" cm="1">
        <f t="array" ref="K1165">SUMPRODUCT(("T_C-ICEGSLEXT"=[1]OUT_TransportEnergyCons!$A$3:$A$1000)*1,("Var_Fin"=[1]OUT_TransportEnergyCons!$B$3:$B$1000)*1,ISNUMBER(SEARCH("GSL",[1]OUT_TransportEnergyCons!$C$3:$C$1000))*1,[1]OUT_TransportEnergyCons!I$3:I$1000)</f>
        <v>0</v>
      </c>
    </row>
    <row r="1166" spans="2:11" x14ac:dyDescent="0.35">
      <c r="B1166" s="5" t="str">
        <f t="shared" si="782"/>
        <v>SPS1</v>
      </c>
      <c r="C1166" s="5" t="str">
        <f t="shared" si="783"/>
        <v>CH</v>
      </c>
      <c r="D1166" t="s">
        <v>1269</v>
      </c>
      <c r="E1166" t="s">
        <v>8</v>
      </c>
      <c r="F1166" s="1" cm="1">
        <f t="array" ref="F1166">SUMPRODUCT(("T_C-ICE-GSL-S1"=[1]OUT_TransportEnergyCons!$A$3:$A$1000)*1,("Var_Fin"=[1]OUT_TransportEnergyCons!$B$3:$B$1000)*1,ISNUMBER(SEARCH("GSL",[1]OUT_TransportEnergyCons!$C$3:$C$1000))*1,[1]OUT_TransportEnergyCons!D$3:D$1000)</f>
        <v>0.49604989692618601</v>
      </c>
      <c r="G1166" s="1" cm="1">
        <f t="array" ref="G1166">SUMPRODUCT(("T_C-ICE-GSL-S1"=[1]OUT_TransportEnergyCons!$A$3:$A$1000)*1,("Var_Fin"=[1]OUT_TransportEnergyCons!$B$3:$B$1000)*1,ISNUMBER(SEARCH("GSL",[1]OUT_TransportEnergyCons!$C$3:$C$1000))*1,[1]OUT_TransportEnergyCons!E$3:E$1000)</f>
        <v>0.55077624765404443</v>
      </c>
      <c r="H1166" s="1" cm="1">
        <f t="array" ref="H1166">SUMPRODUCT(("T_C-ICE-GSL-S1"=[1]OUT_TransportEnergyCons!$A$3:$A$1000)*1,("Var_Fin"=[1]OUT_TransportEnergyCons!$B$3:$B$1000)*1,ISNUMBER(SEARCH("GSL",[1]OUT_TransportEnergyCons!$C$3:$C$1000))*1,[1]OUT_TransportEnergyCons!F$3:F$1000)</f>
        <v>1.3432552430292726</v>
      </c>
      <c r="I1166" s="1" cm="1">
        <f t="array" ref="I1166">SUMPRODUCT(("T_C-ICE-GSL-S1"=[1]OUT_TransportEnergyCons!$A$3:$A$1000)*1,("Var_Fin"=[1]OUT_TransportEnergyCons!$B$3:$B$1000)*1,ISNUMBER(SEARCH("GSL",[1]OUT_TransportEnergyCons!$C$3:$C$1000))*1,[1]OUT_TransportEnergyCons!G$3:G$1000)</f>
        <v>1.1350823611703991</v>
      </c>
      <c r="J1166" s="1" cm="1">
        <f t="array" ref="J1166">SUMPRODUCT(("T_C-ICE-GSL-S1"=[1]OUT_TransportEnergyCons!$A$3:$A$1000)*1,("Var_Fin"=[1]OUT_TransportEnergyCons!$B$3:$B$1000)*1,ISNUMBER(SEARCH("GSL",[1]OUT_TransportEnergyCons!$C$3:$C$1000))*1,[1]OUT_TransportEnergyCons!H$3:H$1000)</f>
        <v>8.1636813946359091E-2</v>
      </c>
      <c r="K1166" s="1" cm="1">
        <f t="array" ref="K1166">SUMPRODUCT(("T_C-ICE-GSL-S1"=[1]OUT_TransportEnergyCons!$A$3:$A$1000)*1,("Var_Fin"=[1]OUT_TransportEnergyCons!$B$3:$B$1000)*1,ISNUMBER(SEARCH("GSL",[1]OUT_TransportEnergyCons!$C$3:$C$1000))*1,[1]OUT_TransportEnergyCons!I$3:I$1000)</f>
        <v>0</v>
      </c>
    </row>
    <row r="1167" spans="2:11" x14ac:dyDescent="0.35">
      <c r="B1167" s="5" t="str">
        <f t="shared" si="782"/>
        <v>SPS1</v>
      </c>
      <c r="C1167" s="5" t="str">
        <f t="shared" si="783"/>
        <v>CH</v>
      </c>
      <c r="D1167" t="s">
        <v>1270</v>
      </c>
      <c r="E1167" t="s">
        <v>8</v>
      </c>
      <c r="F1167" s="1" cm="1">
        <f t="array" ref="F1167">SUMPRODUCT(("T_C-ICE-GSL-S2"=[1]OUT_TransportEnergyCons!$A$3:$A$1000)*1,("Var_Fin"=[1]OUT_TransportEnergyCons!$B$3:$B$1000)*1,ISNUMBER(SEARCH("GSL",[1]OUT_TransportEnergyCons!$C$3:$C$1000))*1,[1]OUT_TransportEnergyCons!D$3:D$1000)</f>
        <v>3.7640798553558183</v>
      </c>
      <c r="G1167" s="1" cm="1">
        <f t="array" ref="G1167">SUMPRODUCT(("T_C-ICE-GSL-S2"=[1]OUT_TransportEnergyCons!$A$3:$A$1000)*1,("Var_Fin"=[1]OUT_TransportEnergyCons!$B$3:$B$1000)*1,ISNUMBER(SEARCH("GSL",[1]OUT_TransportEnergyCons!$C$3:$C$1000))*1,[1]OUT_TransportEnergyCons!E$3:E$1000)</f>
        <v>5.3069994068244455</v>
      </c>
      <c r="H1167" s="1" cm="1">
        <f t="array" ref="H1167">SUMPRODUCT(("T_C-ICE-GSL-S2"=[1]OUT_TransportEnergyCons!$A$3:$A$1000)*1,("Var_Fin"=[1]OUT_TransportEnergyCons!$B$3:$B$1000)*1,ISNUMBER(SEARCH("GSL",[1]OUT_TransportEnergyCons!$C$3:$C$1000))*1,[1]OUT_TransportEnergyCons!F$3:F$1000)</f>
        <v>4.733547516766901</v>
      </c>
      <c r="I1167" s="1" cm="1">
        <f t="array" ref="I1167">SUMPRODUCT(("T_C-ICE-GSL-S2"=[1]OUT_TransportEnergyCons!$A$3:$A$1000)*1,("Var_Fin"=[1]OUT_TransportEnergyCons!$B$3:$B$1000)*1,ISNUMBER(SEARCH("GSL",[1]OUT_TransportEnergyCons!$C$3:$C$1000))*1,[1]OUT_TransportEnergyCons!G$3:G$1000)</f>
        <v>4.1187029977132363</v>
      </c>
      <c r="J1167" s="1" cm="1">
        <f t="array" ref="J1167">SUMPRODUCT(("T_C-ICE-GSL-S2"=[1]OUT_TransportEnergyCons!$A$3:$A$1000)*1,("Var_Fin"=[1]OUT_TransportEnergyCons!$B$3:$B$1000)*1,ISNUMBER(SEARCH("GSL",[1]OUT_TransportEnergyCons!$C$3:$C$1000))*1,[1]OUT_TransportEnergyCons!H$3:H$1000)</f>
        <v>1.584941861073481E-3</v>
      </c>
      <c r="K1167" s="1" cm="1">
        <f t="array" ref="K1167">SUMPRODUCT(("T_C-ICE-GSL-S2"=[1]OUT_TransportEnergyCons!$A$3:$A$1000)*1,("Var_Fin"=[1]OUT_TransportEnergyCons!$B$3:$B$1000)*1,ISNUMBER(SEARCH("GSL",[1]OUT_TransportEnergyCons!$C$3:$C$1000))*1,[1]OUT_TransportEnergyCons!I$3:I$1000)</f>
        <v>0</v>
      </c>
    </row>
    <row r="1168" spans="2:11" x14ac:dyDescent="0.35">
      <c r="B1168" s="5" t="str">
        <f t="shared" si="782"/>
        <v>SPS1</v>
      </c>
      <c r="C1168" s="5" t="str">
        <f t="shared" si="783"/>
        <v>CH</v>
      </c>
      <c r="D1168" t="s">
        <v>1271</v>
      </c>
      <c r="E1168" t="s">
        <v>8</v>
      </c>
      <c r="F1168" s="1" cm="1">
        <f t="array" ref="F1168">SUMPRODUCT(("T_C-ICE-GSL-S3"=[1]OUT_TransportEnergyCons!$A$3:$A$1000)*1,("Var_Fin"=[1]OUT_TransportEnergyCons!$B$3:$B$1000)*1,ISNUMBER(SEARCH("GSL",[1]OUT_TransportEnergyCons!$C$3:$C$1000))*1,[1]OUT_TransportEnergyCons!D$3:D$1000)</f>
        <v>3.7733288939269771</v>
      </c>
      <c r="G1168" s="1" cm="1">
        <f t="array" ref="G1168">SUMPRODUCT(("T_C-ICE-GSL-S3"=[1]OUT_TransportEnergyCons!$A$3:$A$1000)*1,("Var_Fin"=[1]OUT_TransportEnergyCons!$B$3:$B$1000)*1,ISNUMBER(SEARCH("GSL",[1]OUT_TransportEnergyCons!$C$3:$C$1000))*1,[1]OUT_TransportEnergyCons!E$3:E$1000)</f>
        <v>5.7409043082456934</v>
      </c>
      <c r="H1168" s="1" cm="1">
        <f t="array" ref="H1168">SUMPRODUCT(("T_C-ICE-GSL-S3"=[1]OUT_TransportEnergyCons!$A$3:$A$1000)*1,("Var_Fin"=[1]OUT_TransportEnergyCons!$B$3:$B$1000)*1,ISNUMBER(SEARCH("GSL",[1]OUT_TransportEnergyCons!$C$3:$C$1000))*1,[1]OUT_TransportEnergyCons!F$3:F$1000)</f>
        <v>6.6021719696739654</v>
      </c>
      <c r="I1168" s="1" cm="1">
        <f t="array" ref="I1168">SUMPRODUCT(("T_C-ICE-GSL-S3"=[1]OUT_TransportEnergyCons!$A$3:$A$1000)*1,("Var_Fin"=[1]OUT_TransportEnergyCons!$B$3:$B$1000)*1,ISNUMBER(SEARCH("GSL",[1]OUT_TransportEnergyCons!$C$3:$C$1000))*1,[1]OUT_TransportEnergyCons!G$3:G$1000)</f>
        <v>5.3875060993516932</v>
      </c>
      <c r="J1168" s="1" cm="1">
        <f t="array" ref="J1168">SUMPRODUCT(("T_C-ICE-GSL-S3"=[1]OUT_TransportEnergyCons!$A$3:$A$1000)*1,("Var_Fin"=[1]OUT_TransportEnergyCons!$B$3:$B$1000)*1,ISNUMBER(SEARCH("GSL",[1]OUT_TransportEnergyCons!$C$3:$C$1000))*1,[1]OUT_TransportEnergyCons!H$3:H$1000)</f>
        <v>8.0128603565978965E-2</v>
      </c>
      <c r="K1168" s="1" cm="1">
        <f t="array" ref="K1168">SUMPRODUCT(("T_C-ICE-GSL-S3"=[1]OUT_TransportEnergyCons!$A$3:$A$1000)*1,("Var_Fin"=[1]OUT_TransportEnergyCons!$B$3:$B$1000)*1,ISNUMBER(SEARCH("GSL",[1]OUT_TransportEnergyCons!$C$3:$C$1000))*1,[1]OUT_TransportEnergyCons!I$3:I$1000)</f>
        <v>0</v>
      </c>
    </row>
    <row r="1169" spans="2:18" x14ac:dyDescent="0.35">
      <c r="B1169" s="5" t="str">
        <f t="shared" si="782"/>
        <v>SPS1</v>
      </c>
      <c r="C1169" s="5" t="str">
        <f t="shared" si="783"/>
        <v>CH</v>
      </c>
      <c r="D1169" t="s">
        <v>1272</v>
      </c>
      <c r="E1169" t="s">
        <v>8</v>
      </c>
      <c r="F1169" s="1" cm="1">
        <f t="array" ref="F1169">SUMPRODUCT(("T_C-ICE-GSL-S4"=[1]OUT_TransportEnergyCons!$A$3:$A$1000)*1,("Var_Fin"=[1]OUT_TransportEnergyCons!$B$3:$B$1000)*1,ISNUMBER(SEARCH("GSL",[1]OUT_TransportEnergyCons!$C$3:$C$1000))*1,[1]OUT_TransportEnergyCons!D$3:D$1000)</f>
        <v>3.8941506393327083</v>
      </c>
      <c r="G1169" s="1" cm="1">
        <f t="array" ref="G1169">SUMPRODUCT(("T_C-ICE-GSL-S4"=[1]OUT_TransportEnergyCons!$A$3:$A$1000)*1,("Var_Fin"=[1]OUT_TransportEnergyCons!$B$3:$B$1000)*1,ISNUMBER(SEARCH("GSL",[1]OUT_TransportEnergyCons!$C$3:$C$1000))*1,[1]OUT_TransportEnergyCons!E$3:E$1000)</f>
        <v>5.2548079989263732</v>
      </c>
      <c r="H1169" s="1" cm="1">
        <f t="array" ref="H1169">SUMPRODUCT(("T_C-ICE-GSL-S4"=[1]OUT_TransportEnergyCons!$A$3:$A$1000)*1,("Var_Fin"=[1]OUT_TransportEnergyCons!$B$3:$B$1000)*1,ISNUMBER(SEARCH("GSL",[1]OUT_TransportEnergyCons!$C$3:$C$1000))*1,[1]OUT_TransportEnergyCons!F$3:F$1000)</f>
        <v>11.038506364542801</v>
      </c>
      <c r="I1169" s="1" cm="1">
        <f t="array" ref="I1169">SUMPRODUCT(("T_C-ICE-GSL-S4"=[1]OUT_TransportEnergyCons!$A$3:$A$1000)*1,("Var_Fin"=[1]OUT_TransportEnergyCons!$B$3:$B$1000)*1,ISNUMBER(SEARCH("GSL",[1]OUT_TransportEnergyCons!$C$3:$C$1000))*1,[1]OUT_TransportEnergyCons!G$3:G$1000)</f>
        <v>9.2597615101158439</v>
      </c>
      <c r="J1169" s="1" cm="1">
        <f t="array" ref="J1169">SUMPRODUCT(("T_C-ICE-GSL-S4"=[1]OUT_TransportEnergyCons!$A$3:$A$1000)*1,("Var_Fin"=[1]OUT_TransportEnergyCons!$B$3:$B$1000)*1,ISNUMBER(SEARCH("GSL",[1]OUT_TransportEnergyCons!$C$3:$C$1000))*1,[1]OUT_TransportEnergyCons!H$3:H$1000)</f>
        <v>0.46872611118340612</v>
      </c>
      <c r="K1169" s="1" cm="1">
        <f t="array" ref="K1169">SUMPRODUCT(("T_C-ICE-GSL-S4"=[1]OUT_TransportEnergyCons!$A$3:$A$1000)*1,("Var_Fin"=[1]OUT_TransportEnergyCons!$B$3:$B$1000)*1,ISNUMBER(SEARCH("GSL",[1]OUT_TransportEnergyCons!$C$3:$C$1000))*1,[1]OUT_TransportEnergyCons!I$3:I$1000)</f>
        <v>0</v>
      </c>
    </row>
    <row r="1170" spans="2:18" x14ac:dyDescent="0.35">
      <c r="B1170" s="5" t="str">
        <f t="shared" si="782"/>
        <v>SPS1</v>
      </c>
      <c r="C1170" s="5" t="str">
        <f t="shared" si="783"/>
        <v>CH</v>
      </c>
      <c r="D1170" t="s">
        <v>1273</v>
      </c>
      <c r="E1170" t="s">
        <v>8</v>
      </c>
      <c r="F1170" s="1" cm="1">
        <f t="array" ref="F1170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0" s="1" cm="1">
        <f t="array" ref="G1170">SUMPRODUCT(("T_C-MHY-GSL-S1"=[1]OUT_TransportEnergyCons!$A$3:$A$1000)*1,("Var_Fin"=[1]OUT_TransportEnergyCons!$B$3:$B$1000)*1,ISNUMBER(SEARCH("GSL",[1]OUT_TransportEnergyCons!$C$3:$C$1000))*1,[1]OUT_TransportEnergyCons!E$3:E$1000)</f>
        <v>2.1774259828614167E-4</v>
      </c>
      <c r="H1170" s="1" cm="1">
        <f t="array" ref="H1170">SUMPRODUCT(("T_C-MHY-GSL-S1"=[1]OUT_TransportEnergyCons!$A$3:$A$1000)*1,("Var_Fin"=[1]OUT_TransportEnergyCons!$B$3:$B$1000)*1,ISNUMBER(SEARCH("GSL",[1]OUT_TransportEnergyCons!$C$3:$C$1000))*1,[1]OUT_TransportEnergyCons!F$3:F$1000)</f>
        <v>8.3200900220774265E-4</v>
      </c>
      <c r="I1170" s="1" cm="1">
        <f t="array" ref="I1170">SUMPRODUCT(("T_C-MHY-GSL-S1"=[1]OUT_TransportEnergyCons!$A$3:$A$1000)*1,("Var_Fin"=[1]OUT_TransportEnergyCons!$B$3:$B$1000)*1,ISNUMBER(SEARCH("GSL",[1]OUT_TransportEnergyCons!$C$3:$C$1000))*1,[1]OUT_TransportEnergyCons!G$3:G$1000)</f>
        <v>9.9570955999545301E-4</v>
      </c>
      <c r="J1170" s="1" cm="1">
        <f t="array" ref="J1170">SUMPRODUCT(("T_C-MHY-GSL-S1"=[1]OUT_TransportEnergyCons!$A$3:$A$1000)*1,("Var_Fin"=[1]OUT_TransportEnergyCons!$B$3:$B$1000)*1,ISNUMBER(SEARCH("GSL",[1]OUT_TransportEnergyCons!$C$3:$C$1000))*1,[1]OUT_TransportEnergyCons!H$3:H$1000)</f>
        <v>1.7870454134148804E-4</v>
      </c>
      <c r="K1170" s="1" cm="1">
        <f t="array" ref="K1170">SUMPRODUCT(("T_C-MHY-GSL-S1"=[1]OUT_TransportEnergyCons!$A$3:$A$1000)*1,("Var_Fin"=[1]OUT_TransportEnergyCons!$B$3:$B$1000)*1,ISNUMBER(SEARCH("GSL",[1]OUT_TransportEnergyCons!$C$3:$C$1000))*1,[1]OUT_TransportEnergyCons!I$3:I$1000)</f>
        <v>0</v>
      </c>
    </row>
    <row r="1171" spans="2:18" x14ac:dyDescent="0.35">
      <c r="B1171" s="5" t="str">
        <f t="shared" si="782"/>
        <v>SPS1</v>
      </c>
      <c r="C1171" s="5" t="str">
        <f t="shared" si="783"/>
        <v>CH</v>
      </c>
      <c r="D1171" t="s">
        <v>1274</v>
      </c>
      <c r="E1171" t="s">
        <v>8</v>
      </c>
      <c r="F1171" s="1" cm="1">
        <f t="array" ref="F1171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1" s="1" cm="1">
        <f t="array" ref="G1171">SUMPRODUCT(("T_C-MHY-GSL-S2"=[1]OUT_TransportEnergyCons!$A$3:$A$1000)*1,("Var_Fin"=[1]OUT_TransportEnergyCons!$B$3:$B$1000)*1,ISNUMBER(SEARCH("GSL",[1]OUT_TransportEnergyCons!$C$3:$C$1000))*1,[1]OUT_TransportEnergyCons!E$3:E$1000)</f>
        <v>1.7403426247001249E-4</v>
      </c>
      <c r="H1171" s="1" cm="1">
        <f t="array" ref="H1171">SUMPRODUCT(("T_C-MHY-GSL-S2"=[1]OUT_TransportEnergyCons!$A$3:$A$1000)*1,("Var_Fin"=[1]OUT_TransportEnergyCons!$B$3:$B$1000)*1,ISNUMBER(SEARCH("GSL",[1]OUT_TransportEnergyCons!$C$3:$C$1000))*1,[1]OUT_TransportEnergyCons!F$3:F$1000)</f>
        <v>7.8951590075827501E-4</v>
      </c>
      <c r="I1171" s="1" cm="1">
        <f t="array" ref="I1171">SUMPRODUCT(("T_C-MHY-GSL-S2"=[1]OUT_TransportEnergyCons!$A$3:$A$1000)*1,("Var_Fin"=[1]OUT_TransportEnergyCons!$B$3:$B$1000)*1,ISNUMBER(SEARCH("GSL",[1]OUT_TransportEnergyCons!$C$3:$C$1000))*1,[1]OUT_TransportEnergyCons!G$3:G$1000)</f>
        <v>1.0489777580357982E-3</v>
      </c>
      <c r="J1171" s="1" cm="1">
        <f t="array" ref="J1171">SUMPRODUCT(("T_C-MHY-GSL-S2"=[1]OUT_TransportEnergyCons!$A$3:$A$1000)*1,("Var_Fin"=[1]OUT_TransportEnergyCons!$B$3:$B$1000)*1,ISNUMBER(SEARCH("GSL",[1]OUT_TransportEnergyCons!$C$3:$C$1000))*1,[1]OUT_TransportEnergyCons!H$3:H$1000)</f>
        <v>2.0348628172997305E-4</v>
      </c>
      <c r="K1171" s="1" cm="1">
        <f t="array" ref="K1171">SUMPRODUCT(("T_C-MHY-GSL-S2"=[1]OUT_TransportEnergyCons!$A$3:$A$1000)*1,("Var_Fin"=[1]OUT_TransportEnergyCons!$B$3:$B$1000)*1,ISNUMBER(SEARCH("GSL",[1]OUT_TransportEnergyCons!$C$3:$C$1000))*1,[1]OUT_TransportEnergyCons!I$3:I$1000)</f>
        <v>0</v>
      </c>
    </row>
    <row r="1172" spans="2:18" x14ac:dyDescent="0.35">
      <c r="B1172" s="5" t="str">
        <f t="shared" si="782"/>
        <v>SPS1</v>
      </c>
      <c r="C1172" s="5" t="str">
        <f t="shared" si="783"/>
        <v>CH</v>
      </c>
      <c r="D1172" t="s">
        <v>1275</v>
      </c>
      <c r="E1172" t="s">
        <v>8</v>
      </c>
      <c r="F1172" s="1" cm="1">
        <f t="array" ref="F1172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SUMPRODUCT(("T_C-MHY-GSL-S3"=[1]OUT_TransportEnergyCons!$A$3:$A$1000)*1,("Var_Fin"=[1]OUT_TransportEnergyCons!$B$3:$B$1000)*1,ISNUMBER(SEARCH("GSL",[1]OUT_TransportEnergyCons!$C$3:$C$1000))*1,[1]OUT_TransportEnergyCons!E$3:E$1000)</f>
        <v>2.5106167960312287E-4</v>
      </c>
      <c r="H1172" s="1" cm="1">
        <f t="array" ref="H1172">SUMPRODUCT(("T_C-MHY-GSL-S3"=[1]OUT_TransportEnergyCons!$A$3:$A$1000)*1,("Var_Fin"=[1]OUT_TransportEnergyCons!$B$3:$B$1000)*1,ISNUMBER(SEARCH("GSL",[1]OUT_TransportEnergyCons!$C$3:$C$1000))*1,[1]OUT_TransportEnergyCons!F$3:F$1000)</f>
        <v>8.8407958049310667E-4</v>
      </c>
      <c r="I1172" s="1" cm="1">
        <f t="array" ref="I1172">SUMPRODUCT(("T_C-MHY-GSL-S3"=[1]OUT_TransportEnergyCons!$A$3:$A$1000)*1,("Var_Fin"=[1]OUT_TransportEnergyCons!$B$3:$B$1000)*1,ISNUMBER(SEARCH("GSL",[1]OUT_TransportEnergyCons!$C$3:$C$1000))*1,[1]OUT_TransportEnergyCons!G$3:G$1000)</f>
        <v>1.1035133603942604E-3</v>
      </c>
      <c r="J1172" s="1" cm="1">
        <f t="array" ref="J1172">SUMPRODUCT(("T_C-MHY-GSL-S3"=[1]OUT_TransportEnergyCons!$A$3:$A$1000)*1,("Var_Fin"=[1]OUT_TransportEnergyCons!$B$3:$B$1000)*1,ISNUMBER(SEARCH("GSL",[1]OUT_TransportEnergyCons!$C$3:$C$1000))*1,[1]OUT_TransportEnergyCons!H$3:H$1000)</f>
        <v>1.8259820163467704E-4</v>
      </c>
      <c r="K1172" s="1" cm="1">
        <f t="array" ref="K1172">SUMPRODUCT(("T_C-MHY-GSL-S3"=[1]OUT_TransportEnergyCons!$A$3:$A$1000)*1,("Var_Fin"=[1]OUT_TransportEnergyCons!$B$3:$B$1000)*1,ISNUMBER(SEARCH("GSL",[1]OUT_TransportEnergyCons!$C$3:$C$1000))*1,[1]OUT_TransportEnergyCons!I$3:I$1000)</f>
        <v>0</v>
      </c>
    </row>
    <row r="1173" spans="2:18" x14ac:dyDescent="0.35">
      <c r="B1173" s="5" t="str">
        <f t="shared" si="782"/>
        <v>SPS1</v>
      </c>
      <c r="C1173" s="5" t="str">
        <f t="shared" si="783"/>
        <v>CH</v>
      </c>
      <c r="D1173" t="s">
        <v>1276</v>
      </c>
      <c r="E1173" t="s">
        <v>8</v>
      </c>
      <c r="F1173" s="1" cm="1">
        <f t="array" ref="F1173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SUMPRODUCT(("T_C-MHY-GSL-S4"=[1]OUT_TransportEnergyCons!$A$3:$A$1000)*1,("Var_Fin"=[1]OUT_TransportEnergyCons!$B$3:$B$1000)*1,ISNUMBER(SEARCH("GSL",[1]OUT_TransportEnergyCons!$C$3:$C$1000))*1,[1]OUT_TransportEnergyCons!E$3:E$1000)</f>
        <v>3.1417513889467558E-4</v>
      </c>
      <c r="H1173" s="1" cm="1">
        <f t="array" ref="H1173">SUMPRODUCT(("T_C-MHY-GSL-S4"=[1]OUT_TransportEnergyCons!$A$3:$A$1000)*1,("Var_Fin"=[1]OUT_TransportEnergyCons!$B$3:$B$1000)*1,ISNUMBER(SEARCH("GSL",[1]OUT_TransportEnergyCons!$C$3:$C$1000))*1,[1]OUT_TransportEnergyCons!F$3:F$1000)</f>
        <v>1.1724540259001506E-3</v>
      </c>
      <c r="I1173" s="1" cm="1">
        <f t="array" ref="I1173">SUMPRODUCT(("T_C-MHY-GSL-S4"=[1]OUT_TransportEnergyCons!$A$3:$A$1000)*1,("Var_Fin"=[1]OUT_TransportEnergyCons!$B$3:$B$1000)*1,ISNUMBER(SEARCH("GSL",[1]OUT_TransportEnergyCons!$C$3:$C$1000))*1,[1]OUT_TransportEnergyCons!G$3:G$1000)</f>
        <v>1.5990218428928416E-3</v>
      </c>
      <c r="J1173" s="1" cm="1">
        <f t="array" ref="J1173">SUMPRODUCT(("T_C-MHY-GSL-S4"=[1]OUT_TransportEnergyCons!$A$3:$A$1000)*1,("Var_Fin"=[1]OUT_TransportEnergyCons!$B$3:$B$1000)*1,ISNUMBER(SEARCH("GSL",[1]OUT_TransportEnergyCons!$C$3:$C$1000))*1,[1]OUT_TransportEnergyCons!H$3:H$1000)</f>
        <v>2.8259299695468864E-4</v>
      </c>
      <c r="K1173" s="1" cm="1">
        <f t="array" ref="K1173">SUMPRODUCT(("T_C-MHY-GSL-S4"=[1]OUT_TransportEnergyCons!$A$3:$A$1000)*1,("Var_Fin"=[1]OUT_TransportEnergyCons!$B$3:$B$1000)*1,ISNUMBER(SEARCH("GSL",[1]OUT_TransportEnergyCons!$C$3:$C$1000))*1,[1]OUT_TransportEnergyCons!I$3:I$1000)</f>
        <v>0</v>
      </c>
    </row>
    <row r="1174" spans="2:18" x14ac:dyDescent="0.35">
      <c r="B1174" s="5" t="str">
        <f t="shared" si="782"/>
        <v>SPS1</v>
      </c>
      <c r="C1174" s="5" t="str">
        <f t="shared" si="783"/>
        <v>CH</v>
      </c>
      <c r="D1174" t="s">
        <v>1277</v>
      </c>
      <c r="E1174" t="s">
        <v>8</v>
      </c>
      <c r="F1174" s="1" cm="1">
        <f t="array" ref="F1174">SUMPRODUCT(("T-Plg-GSL-mix_S1"=[1]OUT_TransportEnergyCons!$A$3:$A$1000)*1,("Var_Fin"=[1]OUT_TransportEnergyCons!$B$3:$B$1000)*1,ISNUMBER(SEARCH("GSL",[1]OUT_TransportEnergyCons!$C$3:$C$1000))*1,[1]OUT_TransportEnergyCons!D$3:D$1000)</f>
        <v>2.9918139574762676E-4</v>
      </c>
      <c r="G1174" s="1" cm="1">
        <f t="array" ref="G1174">SUMPRODUCT(("T-Plg-GSL-mix_S1"=[1]OUT_TransportEnergyCons!$A$3:$A$1000)*1,("Var_Fin"=[1]OUT_TransportEnergyCons!$B$3:$B$1000)*1,ISNUMBER(SEARCH("GSL",[1]OUT_TransportEnergyCons!$C$3:$C$1000))*1,[1]OUT_TransportEnergyCons!E$3:E$1000)</f>
        <v>6.5383245667951595E-4</v>
      </c>
      <c r="H1174" s="1" cm="1">
        <f t="array" ref="H1174">SUMPRODUCT(("T-Plg-GSL-mix_S1"=[1]OUT_TransportEnergyCons!$A$3:$A$1000)*1,("Var_Fin"=[1]OUT_TransportEnergyCons!$B$3:$B$1000)*1,ISNUMBER(SEARCH("GSL",[1]OUT_TransportEnergyCons!$C$3:$C$1000))*1,[1]OUT_TransportEnergyCons!F$3:F$1000)</f>
        <v>7.6160592177055327E-4</v>
      </c>
      <c r="I1174" s="1" cm="1">
        <f t="array" ref="I1174">SUMPRODUCT(("T-Plg-GSL-mix_S1"=[1]OUT_TransportEnergyCons!$A$3:$A$1000)*1,("Var_Fin"=[1]OUT_TransportEnergyCons!$B$3:$B$1000)*1,ISNUMBER(SEARCH("GSL",[1]OUT_TransportEnergyCons!$C$3:$C$1000))*1,[1]OUT_TransportEnergyCons!G$3:G$1000)</f>
        <v>8.3665443451594822E-4</v>
      </c>
      <c r="J1174" s="1" cm="1">
        <f t="array" ref="J1174">SUMPRODUCT(("T-Plg-GSL-mix_S1"=[1]OUT_TransportEnergyCons!$A$3:$A$1000)*1,("Var_Fin"=[1]OUT_TransportEnergyCons!$B$3:$B$1000)*1,ISNUMBER(SEARCH("GSL",[1]OUT_TransportEnergyCons!$C$3:$C$1000))*1,[1]OUT_TransportEnergyCons!H$3:H$1000)</f>
        <v>3.8128216886628975E-4</v>
      </c>
      <c r="K1174" s="1" cm="1">
        <f t="array" ref="K1174">SUMPRODUCT(("T-Plg-GSL-mix_S1"=[1]OUT_TransportEnergyCons!$A$3:$A$1000)*1,("Var_Fin"=[1]OUT_TransportEnergyCons!$B$3:$B$1000)*1,ISNUMBER(SEARCH("GSL",[1]OUT_TransportEnergyCons!$C$3:$C$1000))*1,[1]OUT_TransportEnergyCons!I$3:I$1000)</f>
        <v>5.4393098259080769E-5</v>
      </c>
    </row>
    <row r="1175" spans="2:18" x14ac:dyDescent="0.35">
      <c r="B1175" s="5" t="str">
        <f t="shared" si="782"/>
        <v>SPS1</v>
      </c>
      <c r="C1175" s="5" t="str">
        <f t="shared" si="783"/>
        <v>CH</v>
      </c>
      <c r="D1175" t="s">
        <v>1278</v>
      </c>
      <c r="E1175" t="s">
        <v>8</v>
      </c>
      <c r="F1175" s="1" cm="1">
        <f t="array" ref="F1175">SUMPRODUCT(("T-Plg-GSL-mix_S2"=[1]OUT_TransportEnergyCons!$A$3:$A$1000)*1,("Var_Fin"=[1]OUT_TransportEnergyCons!$B$3:$B$1000)*1,ISNUMBER(SEARCH("GSL",[1]OUT_TransportEnergyCons!$C$3:$C$1000))*1,[1]OUT_TransportEnergyCons!D$3:D$1000)</f>
        <v>8.3041160112651544E-2</v>
      </c>
      <c r="G1175" s="1" cm="1">
        <f t="array" ref="G1175">SUMPRODUCT(("T-Plg-GSL-mix_S2"=[1]OUT_TransportEnergyCons!$A$3:$A$1000)*1,("Var_Fin"=[1]OUT_TransportEnergyCons!$B$3:$B$1000)*1,ISNUMBER(SEARCH("GSL",[1]OUT_TransportEnergyCons!$C$3:$C$1000))*1,[1]OUT_TransportEnergyCons!E$3:E$1000)</f>
        <v>0.14965621757742956</v>
      </c>
      <c r="H1175" s="1" cm="1">
        <f t="array" ref="H1175">SUMPRODUCT(("T-Plg-GSL-mix_S2"=[1]OUT_TransportEnergyCons!$A$3:$A$1000)*1,("Var_Fin"=[1]OUT_TransportEnergyCons!$B$3:$B$1000)*1,ISNUMBER(SEARCH("GSL",[1]OUT_TransportEnergyCons!$C$3:$C$1000))*1,[1]OUT_TransportEnergyCons!F$3:F$1000)</f>
        <v>0.11626017379535822</v>
      </c>
      <c r="I1175" s="1" cm="1">
        <f t="array" ref="I1175">SUMPRODUCT(("T-Plg-GSL-mix_S2"=[1]OUT_TransportEnergyCons!$A$3:$A$1000)*1,("Var_Fin"=[1]OUT_TransportEnergyCons!$B$3:$B$1000)*1,ISNUMBER(SEARCH("GSL",[1]OUT_TransportEnergyCons!$C$3:$C$1000))*1,[1]OUT_TransportEnergyCons!G$3:G$1000)</f>
        <v>0.1324097135506323</v>
      </c>
      <c r="J1175" s="1" cm="1">
        <f t="array" ref="J1175">SUMPRODUCT(("T-Plg-GSL-mix_S2"=[1]OUT_TransportEnergyCons!$A$3:$A$1000)*1,("Var_Fin"=[1]OUT_TransportEnergyCons!$B$3:$B$1000)*1,ISNUMBER(SEARCH("GSL",[1]OUT_TransportEnergyCons!$C$3:$C$1000))*1,[1]OUT_TransportEnergyCons!H$3:H$1000)</f>
        <v>1.5228144514328734E-3</v>
      </c>
      <c r="K1175" s="1" cm="1">
        <f t="array" ref="K1175">SUMPRODUCT(("T-Plg-GSL-mix_S2"=[1]OUT_TransportEnergyCons!$A$3:$A$1000)*1,("Var_Fin"=[1]OUT_TransportEnergyCons!$B$3:$B$1000)*1,ISNUMBER(SEARCH("GSL",[1]OUT_TransportEnergyCons!$C$3:$C$1000))*1,[1]OUT_TransportEnergyCons!I$3:I$1000)</f>
        <v>1.6054487186528343E-4</v>
      </c>
    </row>
    <row r="1176" spans="2:18" x14ac:dyDescent="0.35">
      <c r="B1176" s="5" t="str">
        <f t="shared" si="782"/>
        <v>SPS1</v>
      </c>
      <c r="C1176" s="5" t="str">
        <f t="shared" si="783"/>
        <v>CH</v>
      </c>
      <c r="D1176" t="s">
        <v>1279</v>
      </c>
      <c r="E1176" t="s">
        <v>8</v>
      </c>
      <c r="F1176" s="1" cm="1">
        <f t="array" ref="F1176">SUMPRODUCT(("T-Plg-GSL-mix_S3"=[1]OUT_TransportEnergyCons!$A$3:$A$1000)*1,("Var_Fin"=[1]OUT_TransportEnergyCons!$B$3:$B$1000)*1,ISNUMBER(SEARCH("GSL",[1]OUT_TransportEnergyCons!$C$3:$C$1000))*1,[1]OUT_TransportEnergyCons!D$3:D$1000)</f>
        <v>8.7765526269059702E-2</v>
      </c>
      <c r="G1176" s="1" cm="1">
        <f t="array" ref="G1176">SUMPRODUCT(("T-Plg-GSL-mix_S3"=[1]OUT_TransportEnergyCons!$A$3:$A$1000)*1,("Var_Fin"=[1]OUT_TransportEnergyCons!$B$3:$B$1000)*1,ISNUMBER(SEARCH("GSL",[1]OUT_TransportEnergyCons!$C$3:$C$1000))*1,[1]OUT_TransportEnergyCons!E$3:E$1000)</f>
        <v>1.0433330301944026</v>
      </c>
      <c r="H1176" s="1" cm="1">
        <f t="array" ref="H1176">SUMPRODUCT(("T-Plg-GSL-mix_S3"=[1]OUT_TransportEnergyCons!$A$3:$A$1000)*1,("Var_Fin"=[1]OUT_TransportEnergyCons!$B$3:$B$1000)*1,ISNUMBER(SEARCH("GSL",[1]OUT_TransportEnergyCons!$C$3:$C$1000))*1,[1]OUT_TransportEnergyCons!F$3:F$1000)</f>
        <v>1.7842183319558784</v>
      </c>
      <c r="I1176" s="1" cm="1">
        <f t="array" ref="I1176">SUMPRODUCT(("T-Plg-GSL-mix_S3"=[1]OUT_TransportEnergyCons!$A$3:$A$1000)*1,("Var_Fin"=[1]OUT_TransportEnergyCons!$B$3:$B$1000)*1,ISNUMBER(SEARCH("GSL",[1]OUT_TransportEnergyCons!$C$3:$C$1000))*1,[1]OUT_TransportEnergyCons!G$3:G$1000)</f>
        <v>6.8482901494497561</v>
      </c>
      <c r="J1176" s="1" cm="1">
        <f t="array" ref="J1176">SUMPRODUCT(("T-Plg-GSL-mix_S3"=[1]OUT_TransportEnergyCons!$A$3:$A$1000)*1,("Var_Fin"=[1]OUT_TransportEnergyCons!$B$3:$B$1000)*1,ISNUMBER(SEARCH("GSL",[1]OUT_TransportEnergyCons!$C$3:$C$1000))*1,[1]OUT_TransportEnergyCons!H$3:H$1000)</f>
        <v>7.2146666726670778</v>
      </c>
      <c r="K1176" s="1" cm="1">
        <f t="array" ref="K1176">SUMPRODUCT(("T-Plg-GSL-mix_S3"=[1]OUT_TransportEnergyCons!$A$3:$A$1000)*1,("Var_Fin"=[1]OUT_TransportEnergyCons!$B$3:$B$1000)*1,ISNUMBER(SEARCH("GSL",[1]OUT_TransportEnergyCons!$C$3:$C$1000))*1,[1]OUT_TransportEnergyCons!I$3:I$1000)</f>
        <v>0.83717826541890594</v>
      </c>
    </row>
    <row r="1177" spans="2:18" x14ac:dyDescent="0.35">
      <c r="B1177" s="5" t="str">
        <f t="shared" si="782"/>
        <v>SPS1</v>
      </c>
      <c r="C1177" s="5" t="str">
        <f t="shared" si="783"/>
        <v>CH</v>
      </c>
      <c r="D1177" t="s">
        <v>1280</v>
      </c>
      <c r="E1177" t="s">
        <v>8</v>
      </c>
      <c r="F1177" s="1" cm="1">
        <f t="array" ref="F1177">SUMPRODUCT(("T-Plg-GSL-mix_S4"=[1]OUT_TransportEnergyCons!$A$3:$A$1000)*1,("Var_Fin"=[1]OUT_TransportEnergyCons!$B$3:$B$1000)*1,ISNUMBER(SEARCH("GSL",[1]OUT_TransportEnergyCons!$C$3:$C$1000))*1,[1]OUT_TransportEnergyCons!D$3:D$1000)</f>
        <v>0.17301887629328469</v>
      </c>
      <c r="G1177" s="1" cm="1">
        <f t="array" ref="G1177">SUMPRODUCT(("T-Plg-GSL-mix_S4"=[1]OUT_TransportEnergyCons!$A$3:$A$1000)*1,("Var_Fin"=[1]OUT_TransportEnergyCons!$B$3:$B$1000)*1,ISNUMBER(SEARCH("GSL",[1]OUT_TransportEnergyCons!$C$3:$C$1000))*1,[1]OUT_TransportEnergyCons!E$3:E$1000)</f>
        <v>0.26130320814067654</v>
      </c>
      <c r="H1177" s="1" cm="1">
        <f t="array" ref="H1177">SUMPRODUCT(("T-Plg-GSL-mix_S4"=[1]OUT_TransportEnergyCons!$A$3:$A$1000)*1,("Var_Fin"=[1]OUT_TransportEnergyCons!$B$3:$B$1000)*1,ISNUMBER(SEARCH("GSL",[1]OUT_TransportEnergyCons!$C$3:$C$1000))*1,[1]OUT_TransportEnergyCons!F$3:F$1000)</f>
        <v>0.28377329207035418</v>
      </c>
      <c r="I1177" s="1" cm="1">
        <f t="array" ref="I1177">SUMPRODUCT(("T-Plg-GSL-mix_S4"=[1]OUT_TransportEnergyCons!$A$3:$A$1000)*1,("Var_Fin"=[1]OUT_TransportEnergyCons!$B$3:$B$1000)*1,ISNUMBER(SEARCH("GSL",[1]OUT_TransportEnergyCons!$C$3:$C$1000))*1,[1]OUT_TransportEnergyCons!G$3:G$1000)</f>
        <v>0.23039621318302056</v>
      </c>
      <c r="J1177" s="1" cm="1">
        <f t="array" ref="J1177">SUMPRODUCT(("T-Plg-GSL-mix_S4"=[1]OUT_TransportEnergyCons!$A$3:$A$1000)*1,("Var_Fin"=[1]OUT_TransportEnergyCons!$B$3:$B$1000)*1,ISNUMBER(SEARCH("GSL",[1]OUT_TransportEnergyCons!$C$3:$C$1000))*1,[1]OUT_TransportEnergyCons!H$3:H$1000)</f>
        <v>4.3032997069148184E-3</v>
      </c>
      <c r="K1177" s="1" cm="1">
        <f t="array" ref="K1177">SUMPRODUCT(("T-Plg-GSL-mix_S4"=[1]OUT_TransportEnergyCons!$A$3:$A$1000)*1,("Var_Fin"=[1]OUT_TransportEnergyCons!$B$3:$B$1000)*1,ISNUMBER(SEARCH("GSL",[1]OUT_TransportEnergyCons!$C$3:$C$1000))*1,[1]OUT_TransportEnergyCons!I$3:I$1000)</f>
        <v>2.4214836092575836E-4</v>
      </c>
    </row>
    <row r="1178" spans="2:18" x14ac:dyDescent="0.35">
      <c r="B1178" s="5" t="str">
        <f t="shared" si="782"/>
        <v>SPS1</v>
      </c>
      <c r="C1178" s="5" t="str">
        <f t="shared" si="783"/>
        <v>CH</v>
      </c>
      <c r="D1178" t="s">
        <v>1281</v>
      </c>
      <c r="E1178" t="s">
        <v>8</v>
      </c>
      <c r="F1178" s="1">
        <f>SUM(F1183:F1200)</f>
        <v>60.410977126045971</v>
      </c>
      <c r="G1178" s="1">
        <f t="shared" ref="G1178:K1178" si="795">SUM(G1183:G1200)</f>
        <v>58.297964548341376</v>
      </c>
      <c r="H1178" s="1">
        <f t="shared" si="795"/>
        <v>46.380320496563364</v>
      </c>
      <c r="I1178" s="1">
        <f t="shared" si="795"/>
        <v>28.01875359460114</v>
      </c>
      <c r="J1178" s="1">
        <f t="shared" si="795"/>
        <v>5.1521032168244263</v>
      </c>
      <c r="K1178" s="1">
        <f t="shared" si="795"/>
        <v>0.57671129450859282</v>
      </c>
    </row>
    <row r="1179" spans="2:18" x14ac:dyDescent="0.35">
      <c r="B1179" s="5" t="str">
        <f>B1178</f>
        <v>SPS1</v>
      </c>
      <c r="C1179" s="5" t="str">
        <f>C1178</f>
        <v>CH</v>
      </c>
      <c r="D1179" t="s">
        <v>1282</v>
      </c>
      <c r="E1179" t="str">
        <f>E1178</f>
        <v>PJ/yr.</v>
      </c>
      <c r="F1179" s="1">
        <f>F1178-F1180</f>
        <v>58.90983767848136</v>
      </c>
      <c r="G1179" s="1">
        <f t="shared" ref="G1179:K1179" si="796">G1178-G1180</f>
        <v>56.778677508400705</v>
      </c>
      <c r="H1179" s="1">
        <f t="shared" si="796"/>
        <v>44.298967049834488</v>
      </c>
      <c r="I1179" s="1">
        <f t="shared" si="796"/>
        <v>26.502683895017082</v>
      </c>
      <c r="J1179" s="1">
        <f t="shared" si="796"/>
        <v>1.5332000445091896</v>
      </c>
      <c r="K1179" s="1">
        <f t="shared" si="796"/>
        <v>-1.7052279361837293</v>
      </c>
    </row>
    <row r="1180" spans="2:18" x14ac:dyDescent="0.35">
      <c r="B1180" s="5" t="str">
        <f t="shared" ref="B1180:B1182" si="797">B1179</f>
        <v>SPS1</v>
      </c>
      <c r="C1180" s="5" t="str">
        <f t="shared" ref="C1180:C1182" si="798">C1179</f>
        <v>CH</v>
      </c>
      <c r="D1180" t="s">
        <v>1283</v>
      </c>
      <c r="E1180" t="str">
        <f t="shared" ref="E1180:E1182" si="799">E1179</f>
        <v>PJ/yr.</v>
      </c>
      <c r="F1180" s="1">
        <f>SUM(F1181:F1182)</f>
        <v>1.5011394475646089</v>
      </c>
      <c r="G1180" s="1">
        <f t="shared" ref="G1180" si="800">SUM(G1181:G1182)</f>
        <v>1.5192870399406733</v>
      </c>
      <c r="H1180" s="1">
        <f t="shared" ref="H1180" si="801">SUM(H1181:H1182)</f>
        <v>2.0813534467288735</v>
      </c>
      <c r="I1180" s="1">
        <f t="shared" ref="I1180" si="802">SUM(I1181:I1182)</f>
        <v>1.5160696995840586</v>
      </c>
      <c r="J1180" s="1">
        <f t="shared" ref="J1180" si="803">SUM(J1181:J1182)</f>
        <v>3.6189031723152367</v>
      </c>
      <c r="K1180" s="1">
        <f t="shared" ref="K1180" si="804">SUM(K1181:K1182)</f>
        <v>2.2819392306923221</v>
      </c>
    </row>
    <row r="1181" spans="2:18" x14ac:dyDescent="0.35">
      <c r="B1181" s="5" t="str">
        <f t="shared" si="797"/>
        <v>SPS1</v>
      </c>
      <c r="C1181" s="5" t="str">
        <f t="shared" si="798"/>
        <v>CH</v>
      </c>
      <c r="D1181" t="s">
        <v>1284</v>
      </c>
      <c r="E1181" t="str">
        <f t="shared" si="799"/>
        <v>PJ/yr.</v>
      </c>
      <c r="F1181" s="1">
        <f>[1]Transport!B$26/SUM([1]Transport!B$22,[1]Transport!B$26)*F1178*(F$33+F$580)/(F$33+F$580+F$36)</f>
        <v>1.5011394475646089</v>
      </c>
      <c r="G1181" s="1">
        <f>[1]Transport!C$26/SUM([1]Transport!C$22,[1]Transport!C$26)*G1178*(G$33+G$580)/(G$33+G$580+G$36)</f>
        <v>1.5192870399406733</v>
      </c>
      <c r="H1181" s="1">
        <f>[1]Transport!D$26/SUM([1]Transport!D$22,[1]Transport!D$26)*H1178*(H$33+H$580)/(H$33+H$580+H$36)</f>
        <v>2.0813534467288735</v>
      </c>
      <c r="I1181" s="1">
        <f>[1]Transport!E$26/SUM([1]Transport!E$22,[1]Transport!E$26)*I1178*(I$33+I$580)/(I$33+I$580+I$36)</f>
        <v>1.5160696995840586</v>
      </c>
      <c r="J1181" s="1">
        <f>[1]Transport!F$26/SUM([1]Transport!F$22,[1]Transport!F$26)*J1178*(J$33+J$580)/(J$33+J$580+J$36)</f>
        <v>0.14403278048994361</v>
      </c>
      <c r="K1181" s="1">
        <f>[1]Transport!G$26/SUM([1]Transport!G$22,[1]Transport!G$26)*K1178*(K$33+K$580)/(K$33+K$580+K$36)</f>
        <v>0.19708983362077467</v>
      </c>
    </row>
    <row r="1182" spans="2:18" x14ac:dyDescent="0.35">
      <c r="B1182" s="5" t="str">
        <f t="shared" si="797"/>
        <v>SPS1</v>
      </c>
      <c r="C1182" s="5" t="str">
        <f t="shared" si="798"/>
        <v>CH</v>
      </c>
      <c r="D1182" t="s">
        <v>1285</v>
      </c>
      <c r="E1182" t="str">
        <f t="shared" si="799"/>
        <v>PJ/yr.</v>
      </c>
      <c r="F1182" s="1">
        <f>(F$36+F$716)/([1]Transport!B$22+[1]Transport!B$26)*F1178</f>
        <v>0</v>
      </c>
      <c r="G1182" s="1">
        <f>(G$36+G$716)/([1]Transport!C$22+[1]Transport!C$26)*G1178</f>
        <v>0</v>
      </c>
      <c r="H1182" s="1">
        <f>(H$36+H$716)/([1]Transport!D$22+[1]Transport!D$26)*H1178</f>
        <v>0</v>
      </c>
      <c r="I1182" s="1">
        <f>(I$36+I$716)/([1]Transport!E$22+[1]Transport!E$26)*I1178</f>
        <v>0</v>
      </c>
      <c r="J1182" s="1">
        <f>(J$36+J$716)/([1]Transport!F$22+[1]Transport!F$26)*J1178</f>
        <v>3.4748703918252932</v>
      </c>
      <c r="K1182" s="1">
        <f>(K$36+K$716)/([1]Transport!G$22+[1]Transport!G$26)*K1178</f>
        <v>2.0848493970715474</v>
      </c>
      <c r="M1182" s="1"/>
      <c r="N1182" s="1"/>
      <c r="O1182" s="1"/>
      <c r="P1182" s="1"/>
      <c r="Q1182" s="1"/>
      <c r="R1182" s="1"/>
    </row>
    <row r="1183" spans="2:18" x14ac:dyDescent="0.35">
      <c r="B1183" s="5" t="str">
        <f>B1178</f>
        <v>SPS1</v>
      </c>
      <c r="C1183" s="5" t="str">
        <f>C1178</f>
        <v>CH</v>
      </c>
      <c r="D1183" t="s">
        <v>1286</v>
      </c>
      <c r="E1183" t="s">
        <v>8</v>
      </c>
      <c r="F1183" s="1" cm="1">
        <f t="array" ref="F1183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3" s="1" cm="1">
        <f t="array" ref="G1183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3" s="1" cm="1">
        <f t="array" ref="H1183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3" s="1" cm="1">
        <f t="array" ref="I1183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3" s="1" cm="1">
        <f t="array" ref="J1183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3" s="1" cm="1">
        <f t="array" ref="K1183">SUMPRODUCT(("T_C-HYBDSLEXT"=[1]OUT_TransportEnergyCons!$A$3:$A$1000)*1,("Var_Fin"=[1]OUT_TransportEnergyCons!$B$3:$B$1000)*1,ISNUMBER(SEARCH("DSL",[1]OUT_TransportEnergyCons!$C$3:$C$1000))*1,[1]OUT_TransportEnergyCons!I$3:I$1000)</f>
        <v>0</v>
      </c>
    </row>
    <row r="1184" spans="2:18" x14ac:dyDescent="0.35">
      <c r="B1184" s="5" t="str">
        <f t="shared" si="782"/>
        <v>SPS1</v>
      </c>
      <c r="C1184" s="5" t="str">
        <f t="shared" si="783"/>
        <v>CH</v>
      </c>
      <c r="D1184" t="s">
        <v>1287</v>
      </c>
      <c r="E1184" t="s">
        <v>8</v>
      </c>
      <c r="F1184" s="1" cm="1">
        <f t="array" ref="F1184">SUMPRODUCT(("T_C-HY-DSL-S1"=[1]OUT_TransportEnergyCons!$A$3:$A$1000)*1,("Var_Fin"=[1]OUT_TransportEnergyCons!$B$3:$B$1000)*1,ISNUMBER(SEARCH("DSL",[1]OUT_TransportEnergyCons!$C$3:$C$1000))*1,[1]OUT_TransportEnergyCons!D$3:D$1000)</f>
        <v>3.1681402878977612E-5</v>
      </c>
      <c r="G1184" s="1" cm="1">
        <f t="array" ref="G1184">SUMPRODUCT(("T_C-HY-DSL-S1"=[1]OUT_TransportEnergyCons!$A$3:$A$1000)*1,("Var_Fin"=[1]OUT_TransportEnergyCons!$B$3:$B$1000)*1,ISNUMBER(SEARCH("DSL",[1]OUT_TransportEnergyCons!$C$3:$C$1000))*1,[1]OUT_TransportEnergyCons!E$3:E$1000)</f>
        <v>0.17704289284079017</v>
      </c>
      <c r="H1184" s="1" cm="1">
        <f t="array" ref="H1184">SUMPRODUCT(("T_C-HY-DSL-S1"=[1]OUT_TransportEnergyCons!$A$3:$A$1000)*1,("Var_Fin"=[1]OUT_TransportEnergyCons!$B$3:$B$1000)*1,ISNUMBER(SEARCH("DSL",[1]OUT_TransportEnergyCons!$C$3:$C$1000))*1,[1]OUT_TransportEnergyCons!F$3:F$1000)</f>
        <v>0.1195172065161775</v>
      </c>
      <c r="I1184" s="1" cm="1">
        <f t="array" ref="I1184">SUMPRODUCT(("T_C-HY-DSL-S1"=[1]OUT_TransportEnergyCons!$A$3:$A$1000)*1,("Var_Fin"=[1]OUT_TransportEnergyCons!$B$3:$B$1000)*1,ISNUMBER(SEARCH("DSL",[1]OUT_TransportEnergyCons!$C$3:$C$1000))*1,[1]OUT_TransportEnergyCons!G$3:G$1000)</f>
        <v>9.6306778067146201E-2</v>
      </c>
      <c r="J1184" s="1" cm="1">
        <f t="array" ref="J1184">SUMPRODUCT(("T_C-HY-DSL-S1"=[1]OUT_TransportEnergyCons!$A$3:$A$1000)*1,("Var_Fin"=[1]OUT_TransportEnergyCons!$B$3:$B$1000)*1,ISNUMBER(SEARCH("DSL",[1]OUT_TransportEnergyCons!$C$3:$C$1000))*1,[1]OUT_TransportEnergyCons!H$3:H$1000)</f>
        <v>2.7028866709279809E-4</v>
      </c>
      <c r="K1184" s="1" cm="1">
        <f t="array" ref="K1184">SUMPRODUCT(("T_C-HY-DSL-S1"=[1]OUT_TransportEnergyCons!$A$3:$A$1000)*1,("Var_Fin"=[1]OUT_TransportEnergyCons!$B$3:$B$1000)*1,ISNUMBER(SEARCH("DSL",[1]OUT_TransportEnergyCons!$C$3:$C$1000))*1,[1]OUT_TransportEnergyCons!I$3:I$1000)</f>
        <v>0</v>
      </c>
      <c r="R1184" s="1"/>
    </row>
    <row r="1185" spans="2:11" x14ac:dyDescent="0.35">
      <c r="B1185" s="5" t="str">
        <f t="shared" si="782"/>
        <v>SPS1</v>
      </c>
      <c r="C1185" s="5" t="str">
        <f t="shared" si="783"/>
        <v>CH</v>
      </c>
      <c r="D1185" t="s">
        <v>1288</v>
      </c>
      <c r="E1185" t="s">
        <v>8</v>
      </c>
      <c r="F1185" s="1" cm="1">
        <f t="array" ref="F1185">SUMPRODUCT(("T_C-HY-DSL-S2"=[1]OUT_TransportEnergyCons!$A$3:$A$1000)*1,("Var_Fin"=[1]OUT_TransportEnergyCons!$B$3:$B$1000)*1,ISNUMBER(SEARCH("DSL",[1]OUT_TransportEnergyCons!$C$3:$C$1000))*1,[1]OUT_TransportEnergyCons!D$3:D$1000)</f>
        <v>2.8251237597629784E-3</v>
      </c>
      <c r="G1185" s="1" cm="1">
        <f t="array" ref="G1185">SUMPRODUCT(("T_C-HY-DSL-S2"=[1]OUT_TransportEnergyCons!$A$3:$A$1000)*1,("Var_Fin"=[1]OUT_TransportEnergyCons!$B$3:$B$1000)*1,ISNUMBER(SEARCH("DSL",[1]OUT_TransportEnergyCons!$C$3:$C$1000))*1,[1]OUT_TransportEnergyCons!E$3:E$1000)</f>
        <v>0.45624342639765159</v>
      </c>
      <c r="H1185" s="1" cm="1">
        <f t="array" ref="H1185">SUMPRODUCT(("T_C-HY-DSL-S2"=[1]OUT_TransportEnergyCons!$A$3:$A$1000)*1,("Var_Fin"=[1]OUT_TransportEnergyCons!$B$3:$B$1000)*1,ISNUMBER(SEARCH("DSL",[1]OUT_TransportEnergyCons!$C$3:$C$1000))*1,[1]OUT_TransportEnergyCons!F$3:F$1000)</f>
        <v>1.2575201026518184</v>
      </c>
      <c r="I1185" s="1" cm="1">
        <f t="array" ref="I1185">SUMPRODUCT(("T_C-HY-DSL-S2"=[1]OUT_TransportEnergyCons!$A$3:$A$1000)*1,("Var_Fin"=[1]OUT_TransportEnergyCons!$B$3:$B$1000)*1,ISNUMBER(SEARCH("DSL",[1]OUT_TransportEnergyCons!$C$3:$C$1000))*1,[1]OUT_TransportEnergyCons!G$3:G$1000)</f>
        <v>1.0729642486557609</v>
      </c>
      <c r="J1185" s="1" cm="1">
        <f t="array" ref="J1185">SUMPRODUCT(("T_C-HY-DSL-S2"=[1]OUT_TransportEnergyCons!$A$3:$A$1000)*1,("Var_Fin"=[1]OUT_TransportEnergyCons!$B$3:$B$1000)*1,ISNUMBER(SEARCH("DSL",[1]OUT_TransportEnergyCons!$C$3:$C$1000))*1,[1]OUT_TransportEnergyCons!H$3:H$1000)</f>
        <v>5.0873820943658041E-2</v>
      </c>
      <c r="K1185" s="1" cm="1">
        <f t="array" ref="K1185">SUMPRODUCT(("T_C-HY-DSL-S2"=[1]OUT_TransportEnergyCons!$A$3:$A$1000)*1,("Var_Fin"=[1]OUT_TransportEnergyCons!$B$3:$B$1000)*1,ISNUMBER(SEARCH("DSL",[1]OUT_TransportEnergyCons!$C$3:$C$1000))*1,[1]OUT_TransportEnergyCons!I$3:I$1000)</f>
        <v>0</v>
      </c>
    </row>
    <row r="1186" spans="2:11" x14ac:dyDescent="0.35">
      <c r="B1186" s="5" t="str">
        <f t="shared" si="782"/>
        <v>SPS1</v>
      </c>
      <c r="C1186" s="5" t="str">
        <f t="shared" si="783"/>
        <v>CH</v>
      </c>
      <c r="D1186" t="s">
        <v>1289</v>
      </c>
      <c r="E1186" t="s">
        <v>8</v>
      </c>
      <c r="F1186" s="1" cm="1">
        <f t="array" ref="F1186">SUMPRODUCT(("T_C-HY-DSL-S3"=[1]OUT_TransportEnergyCons!$A$3:$A$1000)*1,("Var_Fin"=[1]OUT_TransportEnergyCons!$B$3:$B$1000)*1,ISNUMBER(SEARCH("DSL",[1]OUT_TransportEnergyCons!$C$3:$C$1000))*1,[1]OUT_TransportEnergyCons!D$3:D$1000)</f>
        <v>2.946204027829678E-2</v>
      </c>
      <c r="G1186" s="1" cm="1">
        <f t="array" ref="G1186">SUMPRODUCT(("T_C-HY-DSL-S3"=[1]OUT_TransportEnergyCons!$A$3:$A$1000)*1,("Var_Fin"=[1]OUT_TransportEnergyCons!$B$3:$B$1000)*1,ISNUMBER(SEARCH("DSL",[1]OUT_TransportEnergyCons!$C$3:$C$1000))*1,[1]OUT_TransportEnergyCons!E$3:E$1000)</f>
        <v>4.547001042170868E-2</v>
      </c>
      <c r="H1186" s="1" cm="1">
        <f t="array" ref="H1186">SUMPRODUCT(("T_C-HY-DSL-S3"=[1]OUT_TransportEnergyCons!$A$3:$A$1000)*1,("Var_Fin"=[1]OUT_TransportEnergyCons!$B$3:$B$1000)*1,ISNUMBER(SEARCH("DSL",[1]OUT_TransportEnergyCons!$C$3:$C$1000))*1,[1]OUT_TransportEnergyCons!F$3:F$1000)</f>
        <v>4.3592526046062917E-2</v>
      </c>
      <c r="I1186" s="1" cm="1">
        <f t="array" ref="I1186">SUMPRODUCT(("T_C-HY-DSL-S3"=[1]OUT_TransportEnergyCons!$A$3:$A$1000)*1,("Var_Fin"=[1]OUT_TransportEnergyCons!$B$3:$B$1000)*1,ISNUMBER(SEARCH("DSL",[1]OUT_TransportEnergyCons!$C$3:$C$1000))*1,[1]OUT_TransportEnergyCons!G$3:G$1000)</f>
        <v>3.2661743620912106E-2</v>
      </c>
      <c r="J1186" s="1" cm="1">
        <f t="array" ref="J1186">SUMPRODUCT(("T_C-HY-DSL-S3"=[1]OUT_TransportEnergyCons!$A$3:$A$1000)*1,("Var_Fin"=[1]OUT_TransportEnergyCons!$B$3:$B$1000)*1,ISNUMBER(SEARCH("DSL",[1]OUT_TransportEnergyCons!$C$3:$C$1000))*1,[1]OUT_TransportEnergyCons!H$3:H$1000)</f>
        <v>6.2890788061175089E-5</v>
      </c>
      <c r="K1186" s="1" cm="1">
        <f t="array" ref="K1186">SUMPRODUCT(("T_C-HY-DSL-S3"=[1]OUT_TransportEnergyCons!$A$3:$A$1000)*1,("Var_Fin"=[1]OUT_TransportEnergyCons!$B$3:$B$1000)*1,ISNUMBER(SEARCH("DSL",[1]OUT_TransportEnergyCons!$C$3:$C$1000))*1,[1]OUT_TransportEnergyCons!I$3:I$1000)</f>
        <v>0</v>
      </c>
    </row>
    <row r="1187" spans="2:11" x14ac:dyDescent="0.35">
      <c r="B1187" s="5" t="str">
        <f t="shared" si="782"/>
        <v>SPS1</v>
      </c>
      <c r="C1187" s="5" t="str">
        <f t="shared" si="783"/>
        <v>CH</v>
      </c>
      <c r="D1187" t="s">
        <v>1290</v>
      </c>
      <c r="E1187" t="s">
        <v>8</v>
      </c>
      <c r="F1187" s="1" cm="1">
        <f t="array" ref="F1187">SUMPRODUCT(("T_C-HY-DSL-S4"=[1]OUT_TransportEnergyCons!$A$3:$A$1000)*1,("Var_Fin"=[1]OUT_TransportEnergyCons!$B$3:$B$1000)*1,ISNUMBER(SEARCH("DSL",[1]OUT_TransportEnergyCons!$C$3:$C$1000))*1,[1]OUT_TransportEnergyCons!D$3:D$1000)</f>
        <v>3.5321398540484827E-2</v>
      </c>
      <c r="G1187" s="1" cm="1">
        <f t="array" ref="G1187">SUMPRODUCT(("T_C-HY-DSL-S4"=[1]OUT_TransportEnergyCons!$A$3:$A$1000)*1,("Var_Fin"=[1]OUT_TransportEnergyCons!$B$3:$B$1000)*1,ISNUMBER(SEARCH("DSL",[1]OUT_TransportEnergyCons!$C$3:$C$1000))*1,[1]OUT_TransportEnergyCons!E$3:E$1000)</f>
        <v>7.0990671472818359E-2</v>
      </c>
      <c r="H1187" s="1" cm="1">
        <f t="array" ref="H1187">SUMPRODUCT(("T_C-HY-DSL-S4"=[1]OUT_TransportEnergyCons!$A$3:$A$1000)*1,("Var_Fin"=[1]OUT_TransportEnergyCons!$B$3:$B$1000)*1,ISNUMBER(SEARCH("DSL",[1]OUT_TransportEnergyCons!$C$3:$C$1000))*1,[1]OUT_TransportEnergyCons!F$3:F$1000)</f>
        <v>6.7349404947858946E-2</v>
      </c>
      <c r="I1187" s="1" cm="1">
        <f t="array" ref="I1187">SUMPRODUCT(("T_C-HY-DSL-S4"=[1]OUT_TransportEnergyCons!$A$3:$A$1000)*1,("Var_Fin"=[1]OUT_TransportEnergyCons!$B$3:$B$1000)*1,ISNUMBER(SEARCH("DSL",[1]OUT_TransportEnergyCons!$C$3:$C$1000))*1,[1]OUT_TransportEnergyCons!G$3:G$1000)</f>
        <v>5.5281200550193393E-2</v>
      </c>
      <c r="J1187" s="1" cm="1">
        <f t="array" ref="J1187">SUMPRODUCT(("T_C-HY-DSL-S4"=[1]OUT_TransportEnergyCons!$A$3:$A$1000)*1,("Var_Fin"=[1]OUT_TransportEnergyCons!$B$3:$B$1000)*1,ISNUMBER(SEARCH("DSL",[1]OUT_TransportEnergyCons!$C$3:$C$1000))*1,[1]OUT_TransportEnergyCons!H$3:H$1000)</f>
        <v>6.8507044139101824E-5</v>
      </c>
      <c r="K1187" s="1" cm="1">
        <f t="array" ref="K1187">SUMPRODUCT(("T_C-HY-DSL-S4"=[1]OUT_TransportEnergyCons!$A$3:$A$1000)*1,("Var_Fin"=[1]OUT_TransportEnergyCons!$B$3:$B$1000)*1,ISNUMBER(SEARCH("DSL",[1]OUT_TransportEnergyCons!$C$3:$C$1000))*1,[1]OUT_TransportEnergyCons!I$3:I$1000)</f>
        <v>0</v>
      </c>
    </row>
    <row r="1188" spans="2:11" x14ac:dyDescent="0.35">
      <c r="B1188" s="5" t="str">
        <f t="shared" si="782"/>
        <v>SPS1</v>
      </c>
      <c r="C1188" s="5" t="str">
        <f t="shared" si="783"/>
        <v>CH</v>
      </c>
      <c r="D1188" t="s">
        <v>1291</v>
      </c>
      <c r="E1188" t="s">
        <v>8</v>
      </c>
      <c r="F1188" s="1" cm="1">
        <f t="array" ref="F1188">SUMPRODUCT(("T_C-ICEDSLEXT"=[1]OUT_TransportEnergyCons!$A$3:$A$1000)*1,("Var_Fin"=[1]OUT_TransportEnergyCons!$B$3:$B$1000)*1,ISNUMBER(SEARCH("DSL",[1]OUT_TransportEnergyCons!$C$3:$C$1000))*1,[1]OUT_TransportEnergyCons!D$3:D$1000)</f>
        <v>52.132025737908506</v>
      </c>
      <c r="G1188" s="1" cm="1">
        <f t="array" ref="G1188">SUMPRODUCT(("T_C-ICEDSLEXT"=[1]OUT_TransportEnergyCons!$A$3:$A$1000)*1,("Var_Fin"=[1]OUT_TransportEnergyCons!$B$3:$B$1000)*1,ISNUMBER(SEARCH("DSL",[1]OUT_TransportEnergyCons!$C$3:$C$1000))*1,[1]OUT_TransportEnergyCons!E$3:E$1000)</f>
        <v>48.700922497944141</v>
      </c>
      <c r="H1188" s="1" cm="1">
        <f t="array" ref="H1188">SUMPRODUCT(("T_C-ICEDSLEXT"=[1]OUT_TransportEnergyCons!$A$3:$A$1000)*1,("Var_Fin"=[1]OUT_TransportEnergyCons!$B$3:$B$1000)*1,ISNUMBER(SEARCH("DSL",[1]OUT_TransportEnergyCons!$C$3:$C$1000))*1,[1]OUT_TransportEnergyCons!F$3:F$1000)</f>
        <v>35.237535038773103</v>
      </c>
      <c r="I1188" s="1" cm="1">
        <f t="array" ref="I1188">SUMPRODUCT(("T_C-ICEDSLEXT"=[1]OUT_TransportEnergyCons!$A$3:$A$1000)*1,("Var_Fin"=[1]OUT_TransportEnergyCons!$B$3:$B$1000)*1,ISNUMBER(SEARCH("DSL",[1]OUT_TransportEnergyCons!$C$3:$C$1000))*1,[1]OUT_TransportEnergyCons!G$3:G$1000)</f>
        <v>15.31658936945982</v>
      </c>
      <c r="J1188" s="1" cm="1">
        <f t="array" ref="J1188">SUMPRODUCT(("T_C-ICEDSLEXT"=[1]OUT_TransportEnergyCons!$A$3:$A$1000)*1,("Var_Fin"=[1]OUT_TransportEnergyCons!$B$3:$B$1000)*1,ISNUMBER(SEARCH("DSL",[1]OUT_TransportEnergyCons!$C$3:$C$1000))*1,[1]OUT_TransportEnergyCons!H$3:H$1000)</f>
        <v>0</v>
      </c>
      <c r="K1188" s="1" cm="1">
        <f t="array" ref="K1188">SUMPRODUCT(("T_C-ICEDSLEXT"=[1]OUT_TransportEnergyCons!$A$3:$A$1000)*1,("Var_Fin"=[1]OUT_TransportEnergyCons!$B$3:$B$1000)*1,ISNUMBER(SEARCH("DSL",[1]OUT_TransportEnergyCons!$C$3:$C$1000))*1,[1]OUT_TransportEnergyCons!I$3:I$1000)</f>
        <v>0</v>
      </c>
    </row>
    <row r="1189" spans="2:11" x14ac:dyDescent="0.35">
      <c r="B1189" s="5" t="str">
        <f t="shared" si="782"/>
        <v>SPS1</v>
      </c>
      <c r="C1189" s="5" t="str">
        <f t="shared" si="783"/>
        <v>CH</v>
      </c>
      <c r="D1189" t="s">
        <v>1292</v>
      </c>
      <c r="E1189" t="s">
        <v>8</v>
      </c>
      <c r="F1189" s="1" cm="1">
        <f t="array" ref="F1189">SUMPRODUCT(("T_C-ICE-DSL-S1"=[1]OUT_TransportEnergyCons!$A$3:$A$1000)*1,("Var_Fin"=[1]OUT_TransportEnergyCons!$B$3:$B$1000)*1,ISNUMBER(SEARCH("DSL",[1]OUT_TransportEnergyCons!$C$3:$C$1000))*1,[1]OUT_TransportEnergyCons!D$3:D$1000)</f>
        <v>5.2200981356026761E-3</v>
      </c>
      <c r="G1189" s="1" cm="1">
        <f t="array" ref="G1189">SUMPRODUCT(("T_C-ICE-DSL-S1"=[1]OUT_TransportEnergyCons!$A$3:$A$1000)*1,("Var_Fin"=[1]OUT_TransportEnergyCons!$B$3:$B$1000)*1,ISNUMBER(SEARCH("DSL",[1]OUT_TransportEnergyCons!$C$3:$C$1000))*1,[1]OUT_TransportEnergyCons!E$3:E$1000)</f>
        <v>5.9939932635381015E-3</v>
      </c>
      <c r="H1189" s="1" cm="1">
        <f t="array" ref="H1189">SUMPRODUCT(("T_C-ICE-DSL-S1"=[1]OUT_TransportEnergyCons!$A$3:$A$1000)*1,("Var_Fin"=[1]OUT_TransportEnergyCons!$B$3:$B$1000)*1,ISNUMBER(SEARCH("DSL",[1]OUT_TransportEnergyCons!$C$3:$C$1000))*1,[1]OUT_TransportEnergyCons!F$3:F$1000)</f>
        <v>4.52855746999253E-3</v>
      </c>
      <c r="I1189" s="1" cm="1">
        <f t="array" ref="I1189">SUMPRODUCT(("T_C-ICE-DSL-S1"=[1]OUT_TransportEnergyCons!$A$3:$A$1000)*1,("Var_Fin"=[1]OUT_TransportEnergyCons!$B$3:$B$1000)*1,ISNUMBER(SEARCH("DSL",[1]OUT_TransportEnergyCons!$C$3:$C$1000))*1,[1]OUT_TransportEnergyCons!G$3:G$1000)</f>
        <v>3.3385206117422174E-3</v>
      </c>
      <c r="J1189" s="1" cm="1">
        <f t="array" ref="J1189">SUMPRODUCT(("T_C-ICE-DSL-S1"=[1]OUT_TransportEnergyCons!$A$3:$A$1000)*1,("Var_Fin"=[1]OUT_TransportEnergyCons!$B$3:$B$1000)*1,ISNUMBER(SEARCH("DSL",[1]OUT_TransportEnergyCons!$C$3:$C$1000))*1,[1]OUT_TransportEnergyCons!H$3:H$1000)</f>
        <v>1.0720005140086664E-4</v>
      </c>
      <c r="K1189" s="1" cm="1">
        <f t="array" ref="K1189">SUMPRODUCT(("T_C-ICE-DSL-S1"=[1]OUT_TransportEnergyCons!$A$3:$A$1000)*1,("Var_Fin"=[1]OUT_TransportEnergyCons!$B$3:$B$1000)*1,ISNUMBER(SEARCH("DSL",[1]OUT_TransportEnergyCons!$C$3:$C$1000))*1,[1]OUT_TransportEnergyCons!I$3:I$1000)</f>
        <v>0</v>
      </c>
    </row>
    <row r="1190" spans="2:11" x14ac:dyDescent="0.35">
      <c r="B1190" s="5" t="str">
        <f t="shared" si="782"/>
        <v>SPS1</v>
      </c>
      <c r="C1190" s="5" t="str">
        <f t="shared" si="783"/>
        <v>CH</v>
      </c>
      <c r="D1190" t="s">
        <v>1293</v>
      </c>
      <c r="E1190" t="s">
        <v>8</v>
      </c>
      <c r="F1190" s="1" cm="1">
        <f t="array" ref="F1190">SUMPRODUCT(("T_C-ICE-DSL-S2"=[1]OUT_TransportEnergyCons!$A$3:$A$1000)*1,("Var_Fin"=[1]OUT_TransportEnergyCons!$B$3:$B$1000)*1,ISNUMBER(SEARCH("DSL",[1]OUT_TransportEnergyCons!$C$3:$C$1000))*1,[1]OUT_TransportEnergyCons!D$3:D$1000)</f>
        <v>1.2215960079758807</v>
      </c>
      <c r="G1190" s="1" cm="1">
        <f t="array" ref="G1190">SUMPRODUCT(("T_C-ICE-DSL-S2"=[1]OUT_TransportEnergyCons!$A$3:$A$1000)*1,("Var_Fin"=[1]OUT_TransportEnergyCons!$B$3:$B$1000)*1,ISNUMBER(SEARCH("DSL",[1]OUT_TransportEnergyCons!$C$3:$C$1000))*1,[1]OUT_TransportEnergyCons!E$3:E$1000)</f>
        <v>1.2831798750597405</v>
      </c>
      <c r="H1190" s="1" cm="1">
        <f t="array" ref="H1190">SUMPRODUCT(("T_C-ICE-DSL-S2"=[1]OUT_TransportEnergyCons!$A$3:$A$1000)*1,("Var_Fin"=[1]OUT_TransportEnergyCons!$B$3:$B$1000)*1,ISNUMBER(SEARCH("DSL",[1]OUT_TransportEnergyCons!$C$3:$C$1000))*1,[1]OUT_TransportEnergyCons!F$3:F$1000)</f>
        <v>0.98751150190249126</v>
      </c>
      <c r="I1190" s="1" cm="1">
        <f t="array" ref="I1190">SUMPRODUCT(("T_C-ICE-DSL-S2"=[1]OUT_TransportEnergyCons!$A$3:$A$1000)*1,("Var_Fin"=[1]OUT_TransportEnergyCons!$B$3:$B$1000)*1,ISNUMBER(SEARCH("DSL",[1]OUT_TransportEnergyCons!$C$3:$C$1000))*1,[1]OUT_TransportEnergyCons!G$3:G$1000)</f>
        <v>0.8288912521649805</v>
      </c>
      <c r="J1190" s="1" cm="1">
        <f t="array" ref="J1190">SUMPRODUCT(("T_C-ICE-DSL-S2"=[1]OUT_TransportEnergyCons!$A$3:$A$1000)*1,("Var_Fin"=[1]OUT_TransportEnergyCons!$B$3:$B$1000)*1,ISNUMBER(SEARCH("DSL",[1]OUT_TransportEnergyCons!$C$3:$C$1000))*1,[1]OUT_TransportEnergyCons!H$3:H$1000)</f>
        <v>1.2971960682709797E-4</v>
      </c>
      <c r="K1190" s="1" cm="1">
        <f t="array" ref="K1190">SUMPRODUCT(("T_C-ICE-DSL-S2"=[1]OUT_TransportEnergyCons!$A$3:$A$1000)*1,("Var_Fin"=[1]OUT_TransportEnergyCons!$B$3:$B$1000)*1,ISNUMBER(SEARCH("DSL",[1]OUT_TransportEnergyCons!$C$3:$C$1000))*1,[1]OUT_TransportEnergyCons!I$3:I$1000)</f>
        <v>0</v>
      </c>
    </row>
    <row r="1191" spans="2:11" x14ac:dyDescent="0.35">
      <c r="B1191" s="5" t="str">
        <f t="shared" si="782"/>
        <v>SPS1</v>
      </c>
      <c r="C1191" s="5" t="str">
        <f t="shared" si="783"/>
        <v>CH</v>
      </c>
      <c r="D1191" t="s">
        <v>1294</v>
      </c>
      <c r="E1191" t="s">
        <v>8</v>
      </c>
      <c r="F1191" s="1" cm="1">
        <f t="array" ref="F1191">SUMPRODUCT(("T_C-ICE-DSL-S3"=[1]OUT_TransportEnergyCons!$A$3:$A$1000)*1,("Var_Fin"=[1]OUT_TransportEnergyCons!$B$3:$B$1000)*1,ISNUMBER(SEARCH("DSL",[1]OUT_TransportEnergyCons!$C$3:$C$1000))*1,[1]OUT_TransportEnergyCons!D$3:D$1000)</f>
        <v>5.041147834362353</v>
      </c>
      <c r="G1191" s="1" cm="1">
        <f t="array" ref="G1191">SUMPRODUCT(("T_C-ICE-DSL-S3"=[1]OUT_TransportEnergyCons!$A$3:$A$1000)*1,("Var_Fin"=[1]OUT_TransportEnergyCons!$B$3:$B$1000)*1,ISNUMBER(SEARCH("DSL",[1]OUT_TransportEnergyCons!$C$3:$C$1000))*1,[1]OUT_TransportEnergyCons!E$3:E$1000)</f>
        <v>5.3268819652804922</v>
      </c>
      <c r="H1191" s="1" cm="1">
        <f t="array" ref="H1191">SUMPRODUCT(("T_C-ICE-DSL-S3"=[1]OUT_TransportEnergyCons!$A$3:$A$1000)*1,("Var_Fin"=[1]OUT_TransportEnergyCons!$B$3:$B$1000)*1,ISNUMBER(SEARCH("DSL",[1]OUT_TransportEnergyCons!$C$3:$C$1000))*1,[1]OUT_TransportEnergyCons!F$3:F$1000)</f>
        <v>5.276000786906291</v>
      </c>
      <c r="I1191" s="1" cm="1">
        <f t="array" ref="I1191">SUMPRODUCT(("T_C-ICE-DSL-S3"=[1]OUT_TransportEnergyCons!$A$3:$A$1000)*1,("Var_Fin"=[1]OUT_TransportEnergyCons!$B$3:$B$1000)*1,ISNUMBER(SEARCH("DSL",[1]OUT_TransportEnergyCons!$C$3:$C$1000))*1,[1]OUT_TransportEnergyCons!G$3:G$1000)</f>
        <v>4.0291855989683416</v>
      </c>
      <c r="J1191" s="1" cm="1">
        <f t="array" ref="J1191">SUMPRODUCT(("T_C-ICE-DSL-S3"=[1]OUT_TransportEnergyCons!$A$3:$A$1000)*1,("Var_Fin"=[1]OUT_TransportEnergyCons!$B$3:$B$1000)*1,ISNUMBER(SEARCH("DSL",[1]OUT_TransportEnergyCons!$C$3:$C$1000))*1,[1]OUT_TransportEnergyCons!H$3:H$1000)</f>
        <v>1.1693097473545033E-4</v>
      </c>
      <c r="K1191" s="1" cm="1">
        <f t="array" ref="K1191">SUMPRODUCT(("T_C-ICE-DSL-S3"=[1]OUT_TransportEnergyCons!$A$3:$A$1000)*1,("Var_Fin"=[1]OUT_TransportEnergyCons!$B$3:$B$1000)*1,ISNUMBER(SEARCH("DSL",[1]OUT_TransportEnergyCons!$C$3:$C$1000))*1,[1]OUT_TransportEnergyCons!I$3:I$1000)</f>
        <v>0</v>
      </c>
    </row>
    <row r="1192" spans="2:11" x14ac:dyDescent="0.35">
      <c r="B1192" s="5" t="str">
        <f t="shared" si="782"/>
        <v>SPS1</v>
      </c>
      <c r="C1192" s="5" t="str">
        <f t="shared" si="783"/>
        <v>CH</v>
      </c>
      <c r="D1192" t="s">
        <v>1295</v>
      </c>
      <c r="E1192" t="s">
        <v>8</v>
      </c>
      <c r="F1192" s="1" cm="1">
        <f t="array" ref="F1192">SUMPRODUCT(("T_C-ICE-DSL-S4"=[1]OUT_TransportEnergyCons!$A$3:$A$1000)*1,("Var_Fin"=[1]OUT_TransportEnergyCons!$B$3:$B$1000)*1,ISNUMBER(SEARCH("DSL",[1]OUT_TransportEnergyCons!$C$3:$C$1000))*1,[1]OUT_TransportEnergyCons!D$3:D$1000)</f>
        <v>1.9374235354926865</v>
      </c>
      <c r="G1192" s="1" cm="1">
        <f t="array" ref="G1192">SUMPRODUCT(("T_C-ICE-DSL-S4"=[1]OUT_TransportEnergyCons!$A$3:$A$1000)*1,("Var_Fin"=[1]OUT_TransportEnergyCons!$B$3:$B$1000)*1,ISNUMBER(SEARCH("DSL",[1]OUT_TransportEnergyCons!$C$3:$C$1000))*1,[1]OUT_TransportEnergyCons!E$3:E$1000)</f>
        <v>2.2107811590167192</v>
      </c>
      <c r="H1192" s="1" cm="1">
        <f t="array" ref="H1192">SUMPRODUCT(("T_C-ICE-DSL-S4"=[1]OUT_TransportEnergyCons!$A$3:$A$1000)*1,("Var_Fin"=[1]OUT_TransportEnergyCons!$B$3:$B$1000)*1,ISNUMBER(SEARCH("DSL",[1]OUT_TransportEnergyCons!$C$3:$C$1000))*1,[1]OUT_TransportEnergyCons!F$3:F$1000)</f>
        <v>1.9249084480132206</v>
      </c>
      <c r="I1192" s="1" cm="1">
        <f t="array" ref="I1192">SUMPRODUCT(("T_C-ICE-DSL-S4"=[1]OUT_TransportEnergyCons!$A$3:$A$1000)*1,("Var_Fin"=[1]OUT_TransportEnergyCons!$B$3:$B$1000)*1,ISNUMBER(SEARCH("DSL",[1]OUT_TransportEnergyCons!$C$3:$C$1000))*1,[1]OUT_TransportEnergyCons!G$3:G$1000)</f>
        <v>1.6728412707710651</v>
      </c>
      <c r="J1192" s="1" cm="1">
        <f t="array" ref="J1192">SUMPRODUCT(("T_C-ICE-DSL-S4"=[1]OUT_TransportEnergyCons!$A$3:$A$1000)*1,("Var_Fin"=[1]OUT_TransportEnergyCons!$B$3:$B$1000)*1,ISNUMBER(SEARCH("DSL",[1]OUT_TransportEnergyCons!$C$3:$C$1000))*1,[1]OUT_TransportEnergyCons!H$3:H$1000)</f>
        <v>7.6761896073293819E-5</v>
      </c>
      <c r="K1192" s="1" cm="1">
        <f t="array" ref="K1192">SUMPRODUCT(("T_C-ICE-DSL-S4"=[1]OUT_TransportEnergyCons!$A$3:$A$1000)*1,("Var_Fin"=[1]OUT_TransportEnergyCons!$B$3:$B$1000)*1,ISNUMBER(SEARCH("DSL",[1]OUT_TransportEnergyCons!$C$3:$C$1000))*1,[1]OUT_TransportEnergyCons!I$3:I$1000)</f>
        <v>0</v>
      </c>
    </row>
    <row r="1193" spans="2:11" x14ac:dyDescent="0.35">
      <c r="B1193" s="5" t="str">
        <f t="shared" si="782"/>
        <v>SPS1</v>
      </c>
      <c r="C1193" s="5" t="str">
        <f t="shared" si="783"/>
        <v>CH</v>
      </c>
      <c r="D1193" t="s">
        <v>1296</v>
      </c>
      <c r="E1193" t="s">
        <v>8</v>
      </c>
      <c r="F1193" s="1" cm="1">
        <f t="array" ref="F1193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3" s="1" cm="1">
        <f t="array" ref="G1193">SUMPRODUCT(("T_C-MHY-DSL-S1"=[1]OUT_TransportEnergyCons!$A$3:$A$1000)*1,("Var_Fin"=[1]OUT_TransportEnergyCons!$B$3:$B$1000)*1,ISNUMBER(SEARCH("DSL",[1]OUT_TransportEnergyCons!$C$3:$C$1000))*1,[1]OUT_TransportEnergyCons!E$3:E$1000)</f>
        <v>1.7815902451535299E-4</v>
      </c>
      <c r="H1193" s="1" cm="1">
        <f t="array" ref="H1193">SUMPRODUCT(("T_C-MHY-DSL-S1"=[1]OUT_TransportEnergyCons!$A$3:$A$1000)*1,("Var_Fin"=[1]OUT_TransportEnergyCons!$B$3:$B$1000)*1,ISNUMBER(SEARCH("DSL",[1]OUT_TransportEnergyCons!$C$3:$C$1000))*1,[1]OUT_TransportEnergyCons!F$3:F$1000)</f>
        <v>6.5945251302532842E-4</v>
      </c>
      <c r="I1193" s="1" cm="1">
        <f t="array" ref="I1193">SUMPRODUCT(("T_C-MHY-DSL-S1"=[1]OUT_TransportEnergyCons!$A$3:$A$1000)*1,("Var_Fin"=[1]OUT_TransportEnergyCons!$B$3:$B$1000)*1,ISNUMBER(SEARCH("DSL",[1]OUT_TransportEnergyCons!$C$3:$C$1000))*1,[1]OUT_TransportEnergyCons!G$3:G$1000)</f>
        <v>8.0466683063508502E-4</v>
      </c>
      <c r="J1193" s="1" cm="1">
        <f t="array" ref="J1193">SUMPRODUCT(("T_C-MHY-DSL-S1"=[1]OUT_TransportEnergyCons!$A$3:$A$1000)*1,("Var_Fin"=[1]OUT_TransportEnergyCons!$B$3:$B$1000)*1,ISNUMBER(SEARCH("DSL",[1]OUT_TransportEnergyCons!$C$3:$C$1000))*1,[1]OUT_TransportEnergyCons!H$3:H$1000)</f>
        <v>1.4925612732883133E-4</v>
      </c>
      <c r="K1193" s="1" cm="1">
        <f t="array" ref="K1193">SUMPRODUCT(("T_C-MHY-DSL-S1"=[1]OUT_TransportEnergyCons!$A$3:$A$1000)*1,("Var_Fin"=[1]OUT_TransportEnergyCons!$B$3:$B$1000)*1,ISNUMBER(SEARCH("DSL",[1]OUT_TransportEnergyCons!$C$3:$C$1000))*1,[1]OUT_TransportEnergyCons!I$3:I$1000)</f>
        <v>0</v>
      </c>
    </row>
    <row r="1194" spans="2:11" x14ac:dyDescent="0.35">
      <c r="B1194" s="5" t="str">
        <f t="shared" si="782"/>
        <v>SPS1</v>
      </c>
      <c r="C1194" s="5" t="str">
        <f t="shared" si="783"/>
        <v>CH</v>
      </c>
      <c r="D1194" t="s">
        <v>1297</v>
      </c>
      <c r="E1194" t="s">
        <v>8</v>
      </c>
      <c r="F1194" s="1" cm="1">
        <f t="array" ref="F1194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4" s="1" cm="1">
        <f t="array" ref="G1194">SUMPRODUCT(("T_C-MHY-DSL-S2"=[1]OUT_TransportEnergyCons!$A$3:$A$1000)*1,("Var_Fin"=[1]OUT_TransportEnergyCons!$B$3:$B$1000)*1,ISNUMBER(SEARCH("DSL",[1]OUT_TransportEnergyCons!$C$3:$C$1000))*1,[1]OUT_TransportEnergyCons!E$3:E$1000)</f>
        <v>1.4402277831072221E-4</v>
      </c>
      <c r="H1194" s="1" cm="1">
        <f t="array" ref="H1194">SUMPRODUCT(("T_C-MHY-DSL-S2"=[1]OUT_TransportEnergyCons!$A$3:$A$1000)*1,("Var_Fin"=[1]OUT_TransportEnergyCons!$B$3:$B$1000)*1,ISNUMBER(SEARCH("DSL",[1]OUT_TransportEnergyCons!$C$3:$C$1000))*1,[1]OUT_TransportEnergyCons!F$3:F$1000)</f>
        <v>6.5863724795056113E-4</v>
      </c>
      <c r="I1194" s="1" cm="1">
        <f t="array" ref="I1194">SUMPRODUCT(("T_C-MHY-DSL-S2"=[1]OUT_TransportEnergyCons!$A$3:$A$1000)*1,("Var_Fin"=[1]OUT_TransportEnergyCons!$B$3:$B$1000)*1,ISNUMBER(SEARCH("DSL",[1]OUT_TransportEnergyCons!$C$3:$C$1000))*1,[1]OUT_TransportEnergyCons!G$3:G$1000)</f>
        <v>9.074098427171365E-4</v>
      </c>
      <c r="J1194" s="1" cm="1">
        <f t="array" ref="J1194">SUMPRODUCT(("T_C-MHY-DSL-S2"=[1]OUT_TransportEnergyCons!$A$3:$A$1000)*1,("Var_Fin"=[1]OUT_TransportEnergyCons!$B$3:$B$1000)*1,ISNUMBER(SEARCH("DSL",[1]OUT_TransportEnergyCons!$C$3:$C$1000))*1,[1]OUT_TransportEnergyCons!H$3:H$1000)</f>
        <v>1.6834019654745754E-4</v>
      </c>
      <c r="K1194" s="1" cm="1">
        <f t="array" ref="K1194">SUMPRODUCT(("T_C-MHY-DSL-S2"=[1]OUT_TransportEnergyCons!$A$3:$A$1000)*1,("Var_Fin"=[1]OUT_TransportEnergyCons!$B$3:$B$1000)*1,ISNUMBER(SEARCH("DSL",[1]OUT_TransportEnergyCons!$C$3:$C$1000))*1,[1]OUT_TransportEnergyCons!I$3:I$1000)</f>
        <v>0</v>
      </c>
    </row>
    <row r="1195" spans="2:11" x14ac:dyDescent="0.35">
      <c r="B1195" s="5" t="str">
        <f t="shared" si="782"/>
        <v>SPS1</v>
      </c>
      <c r="C1195" s="5" t="str">
        <f t="shared" si="783"/>
        <v>CH</v>
      </c>
      <c r="D1195" t="s">
        <v>1298</v>
      </c>
      <c r="E1195" t="s">
        <v>8</v>
      </c>
      <c r="F1195" s="1" cm="1">
        <f t="array" ref="F1195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SUMPRODUCT(("T_C-MHY-DSL-S3"=[1]OUT_TransportEnergyCons!$A$3:$A$1000)*1,("Var_Fin"=[1]OUT_TransportEnergyCons!$B$3:$B$1000)*1,ISNUMBER(SEARCH("DSL",[1]OUT_TransportEnergyCons!$C$3:$C$1000))*1,[1]OUT_TransportEnergyCons!E$3:E$1000)</f>
        <v>1.9497045196535659E-4</v>
      </c>
      <c r="H1195" s="1" cm="1">
        <f t="array" ref="H1195">SUMPRODUCT(("T_C-MHY-DSL-S3"=[1]OUT_TransportEnergyCons!$A$3:$A$1000)*1,("Var_Fin"=[1]OUT_TransportEnergyCons!$B$3:$B$1000)*1,ISNUMBER(SEARCH("DSL",[1]OUT_TransportEnergyCons!$C$3:$C$1000))*1,[1]OUT_TransportEnergyCons!F$3:F$1000)</f>
        <v>6.9187328473897E-4</v>
      </c>
      <c r="I1195" s="1" cm="1">
        <f t="array" ref="I1195">SUMPRODUCT(("T_C-MHY-DSL-S3"=[1]OUT_TransportEnergyCons!$A$3:$A$1000)*1,("Var_Fin"=[1]OUT_TransportEnergyCons!$B$3:$B$1000)*1,ISNUMBER(SEARCH("DSL",[1]OUT_TransportEnergyCons!$C$3:$C$1000))*1,[1]OUT_TransportEnergyCons!G$3:G$1000)</f>
        <v>8.786501536496539E-4</v>
      </c>
      <c r="J1195" s="1" cm="1">
        <f t="array" ref="J1195">SUMPRODUCT(("T_C-MHY-DSL-S3"=[1]OUT_TransportEnergyCons!$A$3:$A$1000)*1,("Var_Fin"=[1]OUT_TransportEnergyCons!$B$3:$B$1000)*1,ISNUMBER(SEARCH("DSL",[1]OUT_TransportEnergyCons!$C$3:$C$1000))*1,[1]OUT_TransportEnergyCons!H$3:H$1000)</f>
        <v>1.4832278958109489E-4</v>
      </c>
      <c r="K1195" s="1" cm="1">
        <f t="array" ref="K1195">SUMPRODUCT(("T_C-MHY-DSL-S3"=[1]OUT_TransportEnergyCons!$A$3:$A$1000)*1,("Var_Fin"=[1]OUT_TransportEnergyCons!$B$3:$B$1000)*1,ISNUMBER(SEARCH("DSL",[1]OUT_TransportEnergyCons!$C$3:$C$1000))*1,[1]OUT_TransportEnergyCons!I$3:I$1000)</f>
        <v>0</v>
      </c>
    </row>
    <row r="1196" spans="2:11" x14ac:dyDescent="0.35">
      <c r="B1196" s="5" t="str">
        <f t="shared" si="782"/>
        <v>SPS1</v>
      </c>
      <c r="C1196" s="5" t="str">
        <f t="shared" si="783"/>
        <v>CH</v>
      </c>
      <c r="D1196" t="s">
        <v>1299</v>
      </c>
      <c r="E1196" t="s">
        <v>8</v>
      </c>
      <c r="F1196" s="1" cm="1">
        <f t="array" ref="F1196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SUMPRODUCT(("T_C-MHY-DSL-S4"=[1]OUT_TransportEnergyCons!$A$3:$A$1000)*1,("Var_Fin"=[1]OUT_TransportEnergyCons!$B$3:$B$1000)*1,ISNUMBER(SEARCH("DSL",[1]OUT_TransportEnergyCons!$C$3:$C$1000))*1,[1]OUT_TransportEnergyCons!E$3:E$1000)</f>
        <v>1.3414145685967485E-4</v>
      </c>
      <c r="H1196" s="1" cm="1">
        <f t="array" ref="H1196">SUMPRODUCT(("T_C-MHY-DSL-S4"=[1]OUT_TransportEnergyCons!$A$3:$A$1000)*1,("Var_Fin"=[1]OUT_TransportEnergyCons!$B$3:$B$1000)*1,ISNUMBER(SEARCH("DSL",[1]OUT_TransportEnergyCons!$C$3:$C$1000))*1,[1]OUT_TransportEnergyCons!F$3:F$1000)</f>
        <v>3.632670330823484E-4</v>
      </c>
      <c r="I1196" s="1" cm="1">
        <f t="array" ref="I1196">SUMPRODUCT(("T_C-MHY-DSL-S4"=[1]OUT_TransportEnergyCons!$A$3:$A$1000)*1,("Var_Fin"=[1]OUT_TransportEnergyCons!$B$3:$B$1000)*1,ISNUMBER(SEARCH("DSL",[1]OUT_TransportEnergyCons!$C$3:$C$1000))*1,[1]OUT_TransportEnergyCons!G$3:G$1000)</f>
        <v>4.8695935370762452E-4</v>
      </c>
      <c r="J1196" s="1" cm="1">
        <f t="array" ref="J1196">SUMPRODUCT(("T_C-MHY-DSL-S4"=[1]OUT_TransportEnergyCons!$A$3:$A$1000)*1,("Var_Fin"=[1]OUT_TransportEnergyCons!$B$3:$B$1000)*1,ISNUMBER(SEARCH("DSL",[1]OUT_TransportEnergyCons!$C$3:$C$1000))*1,[1]OUT_TransportEnergyCons!H$3:H$1000)</f>
        <v>8.6387949724810471E-5</v>
      </c>
      <c r="K1196" s="1" cm="1">
        <f t="array" ref="K1196">SUMPRODUCT(("T_C-MHY-DSL-S4"=[1]OUT_TransportEnergyCons!$A$3:$A$1000)*1,("Var_Fin"=[1]OUT_TransportEnergyCons!$B$3:$B$1000)*1,ISNUMBER(SEARCH("DSL",[1]OUT_TransportEnergyCons!$C$3:$C$1000))*1,[1]OUT_TransportEnergyCons!I$3:I$1000)</f>
        <v>0</v>
      </c>
    </row>
    <row r="1197" spans="2:11" x14ac:dyDescent="0.35">
      <c r="B1197" s="5" t="str">
        <f t="shared" si="782"/>
        <v>SPS1</v>
      </c>
      <c r="C1197" s="5" t="str">
        <f t="shared" si="783"/>
        <v>CH</v>
      </c>
      <c r="D1197" t="s">
        <v>1300</v>
      </c>
      <c r="E1197" t="s">
        <v>8</v>
      </c>
      <c r="F1197" s="1" cm="1">
        <f t="array" ref="F1197">SUMPRODUCT(("T-Plg-DSL-mix_S1"=[1]OUT_TransportEnergyCons!$A$3:$A$1000)*1,("Var_Fin"=[1]OUT_TransportEnergyCons!$B$3:$B$1000)*1,ISNUMBER(SEARCH("DSL",[1]OUT_TransportEnergyCons!$C$3:$C$1000))*1,[1]OUT_TransportEnergyCons!D$3:D$1000)</f>
        <v>1.7339087382150318E-5</v>
      </c>
      <c r="G1197" s="1" cm="1">
        <f t="array" ref="G1197">SUMPRODUCT(("T-Plg-DSL-mix_S1"=[1]OUT_TransportEnergyCons!$A$3:$A$1000)*1,("Var_Fin"=[1]OUT_TransportEnergyCons!$B$3:$B$1000)*1,ISNUMBER(SEARCH("DSL",[1]OUT_TransportEnergyCons!$C$3:$C$1000))*1,[1]OUT_TransportEnergyCons!E$3:E$1000)</f>
        <v>3.8215038077984211E-4</v>
      </c>
      <c r="H1197" s="1" cm="1">
        <f t="array" ref="H1197">SUMPRODUCT(("T-Plg-DSL-mix_S1"=[1]OUT_TransportEnergyCons!$A$3:$A$1000)*1,("Var_Fin"=[1]OUT_TransportEnergyCons!$B$3:$B$1000)*1,ISNUMBER(SEARCH("DSL",[1]OUT_TransportEnergyCons!$C$3:$C$1000))*1,[1]OUT_TransportEnergyCons!F$3:F$1000)</f>
        <v>5.6281758614514378E-4</v>
      </c>
      <c r="I1197" s="1" cm="1">
        <f t="array" ref="I1197">SUMPRODUCT(("T-Plg-DSL-mix_S1"=[1]OUT_TransportEnergyCons!$A$3:$A$1000)*1,("Var_Fin"=[1]OUT_TransportEnergyCons!$B$3:$B$1000)*1,ISNUMBER(SEARCH("DSL",[1]OUT_TransportEnergyCons!$C$3:$C$1000))*1,[1]OUT_TransportEnergyCons!G$3:G$1000)</f>
        <v>7.1110592566946227E-4</v>
      </c>
      <c r="J1197" s="1" cm="1">
        <f t="array" ref="J1197">SUMPRODUCT(("T-Plg-DSL-mix_S1"=[1]OUT_TransportEnergyCons!$A$3:$A$1000)*1,("Var_Fin"=[1]OUT_TransportEnergyCons!$B$3:$B$1000)*1,ISNUMBER(SEARCH("DSL",[1]OUT_TransportEnergyCons!$C$3:$C$1000))*1,[1]OUT_TransportEnergyCons!H$3:H$1000)</f>
        <v>3.7929194689498893E-4</v>
      </c>
      <c r="K1197" s="1" cm="1">
        <f t="array" ref="K1197">SUMPRODUCT(("T-Plg-DSL-mix_S1"=[1]OUT_TransportEnergyCons!$A$3:$A$1000)*1,("Var_Fin"=[1]OUT_TransportEnergyCons!$B$3:$B$1000)*1,ISNUMBER(SEARCH("DSL",[1]OUT_TransportEnergyCons!$C$3:$C$1000))*1,[1]OUT_TransportEnergyCons!I$3:I$1000)</f>
        <v>5.3683482308803174E-5</v>
      </c>
    </row>
    <row r="1198" spans="2:11" x14ac:dyDescent="0.35">
      <c r="B1198" s="5" t="str">
        <f t="shared" si="782"/>
        <v>SPS1</v>
      </c>
      <c r="C1198" s="5" t="str">
        <f t="shared" si="783"/>
        <v>CH</v>
      </c>
      <c r="D1198" t="s">
        <v>1301</v>
      </c>
      <c r="E1198" t="s">
        <v>8</v>
      </c>
      <c r="F1198" s="1" cm="1">
        <f t="array" ref="F1198">SUMPRODUCT(("T-Plg-DSL-mix_S2"=[1]OUT_TransportEnergyCons!$A$3:$A$1000)*1,("Var_Fin"=[1]OUT_TransportEnergyCons!$B$3:$B$1000)*1,ISNUMBER(SEARCH("DSL",[1]OUT_TransportEnergyCons!$C$3:$C$1000))*1,[1]OUT_TransportEnergyCons!D$3:D$1000)</f>
        <v>1.0942364466791553E-5</v>
      </c>
      <c r="G1198" s="1" cm="1">
        <f t="array" ref="G1198">SUMPRODUCT(("T-Plg-DSL-mix_S2"=[1]OUT_TransportEnergyCons!$A$3:$A$1000)*1,("Var_Fin"=[1]OUT_TransportEnergyCons!$B$3:$B$1000)*1,ISNUMBER(SEARCH("DSL",[1]OUT_TransportEnergyCons!$C$3:$C$1000))*1,[1]OUT_TransportEnergyCons!E$3:E$1000)</f>
        <v>3.971858891145811E-4</v>
      </c>
      <c r="H1198" s="1" cm="1">
        <f t="array" ref="H1198">SUMPRODUCT(("T-Plg-DSL-mix_S2"=[1]OUT_TransportEnergyCons!$A$3:$A$1000)*1,("Var_Fin"=[1]OUT_TransportEnergyCons!$B$3:$B$1000)*1,ISNUMBER(SEARCH("DSL",[1]OUT_TransportEnergyCons!$C$3:$C$1000))*1,[1]OUT_TransportEnergyCons!F$3:F$1000)</f>
        <v>1.5129549480397324E-3</v>
      </c>
      <c r="I1198" s="1" cm="1">
        <f t="array" ref="I1198">SUMPRODUCT(("T-Plg-DSL-mix_S2"=[1]OUT_TransportEnergyCons!$A$3:$A$1000)*1,("Var_Fin"=[1]OUT_TransportEnergyCons!$B$3:$B$1000)*1,ISNUMBER(SEARCH("DSL",[1]OUT_TransportEnergyCons!$C$3:$C$1000))*1,[1]OUT_TransportEnergyCons!G$3:G$1000)</f>
        <v>4.6596263405658984E-3</v>
      </c>
      <c r="J1198" s="1" cm="1">
        <f t="array" ref="J1198">SUMPRODUCT(("T-Plg-DSL-mix_S2"=[1]OUT_TransportEnergyCons!$A$3:$A$1000)*1,("Var_Fin"=[1]OUT_TransportEnergyCons!$B$3:$B$1000)*1,ISNUMBER(SEARCH("DSL",[1]OUT_TransportEnergyCons!$C$3:$C$1000))*1,[1]OUT_TransportEnergyCons!H$3:H$1000)</f>
        <v>1.7353614394952789E-3</v>
      </c>
      <c r="K1198" s="1" cm="1">
        <f t="array" ref="K1198">SUMPRODUCT(("T-Plg-DSL-mix_S2"=[1]OUT_TransportEnergyCons!$A$3:$A$1000)*1,("Var_Fin"=[1]OUT_TransportEnergyCons!$B$3:$B$1000)*1,ISNUMBER(SEARCH("DSL",[1]OUT_TransportEnergyCons!$C$3:$C$1000))*1,[1]OUT_TransportEnergyCons!I$3:I$1000)</f>
        <v>1.6091891385810276E-4</v>
      </c>
    </row>
    <row r="1199" spans="2:11" x14ac:dyDescent="0.35">
      <c r="B1199" s="5" t="str">
        <f t="shared" si="782"/>
        <v>SPS1</v>
      </c>
      <c r="C1199" s="5" t="str">
        <f t="shared" si="783"/>
        <v>CH</v>
      </c>
      <c r="D1199" t="s">
        <v>1302</v>
      </c>
      <c r="E1199" t="s">
        <v>8</v>
      </c>
      <c r="F1199" s="1" cm="1">
        <f t="array" ref="F1199">SUMPRODUCT(("T-Plg-DSL-mix_S3"=[1]OUT_TransportEnergyCons!$A$3:$A$1000)*1,("Var_Fin"=[1]OUT_TransportEnergyCons!$B$3:$B$1000)*1,ISNUMBER(SEARCH("DSL",[1]OUT_TransportEnergyCons!$C$3:$C$1000))*1,[1]OUT_TransportEnergyCons!D$3:D$1000)</f>
        <v>1.0544882817383283E-4</v>
      </c>
      <c r="G1199" s="1" cm="1">
        <f t="array" ref="G1199">SUMPRODUCT(("T-Plg-DSL-mix_S3"=[1]OUT_TransportEnergyCons!$A$3:$A$1000)*1,("Var_Fin"=[1]OUT_TransportEnergyCons!$B$3:$B$1000)*1,ISNUMBER(SEARCH("DSL",[1]OUT_TransportEnergyCons!$C$3:$C$1000))*1,[1]OUT_TransportEnergyCons!E$3:E$1000)</f>
        <v>3.6708624487111928E-3</v>
      </c>
      <c r="H1199" s="1" cm="1">
        <f t="array" ref="H1199">SUMPRODUCT(("T-Plg-DSL-mix_S3"=[1]OUT_TransportEnergyCons!$A$3:$A$1000)*1,("Var_Fin"=[1]OUT_TransportEnergyCons!$B$3:$B$1000)*1,ISNUMBER(SEARCH("DSL",[1]OUT_TransportEnergyCons!$C$3:$C$1000))*1,[1]OUT_TransportEnergyCons!F$3:F$1000)</f>
        <v>1.4391653998862188</v>
      </c>
      <c r="I1199" s="1" cm="1">
        <f t="array" ref="I1199">SUMPRODUCT(("T-Plg-DSL-mix_S3"=[1]OUT_TransportEnergyCons!$A$3:$A$1000)*1,("Var_Fin"=[1]OUT_TransportEnergyCons!$B$3:$B$1000)*1,ISNUMBER(SEARCH("DSL",[1]OUT_TransportEnergyCons!$C$3:$C$1000))*1,[1]OUT_TransportEnergyCons!G$3:G$1000)</f>
        <v>4.8644501860210054</v>
      </c>
      <c r="J1199" s="1" cm="1">
        <f t="array" ref="J1199">SUMPRODUCT(("T-Plg-DSL-mix_S3"=[1]OUT_TransportEnergyCons!$A$3:$A$1000)*1,("Var_Fin"=[1]OUT_TransportEnergyCons!$B$3:$B$1000)*1,ISNUMBER(SEARCH("DSL",[1]OUT_TransportEnergyCons!$C$3:$C$1000))*1,[1]OUT_TransportEnergyCons!H$3:H$1000)</f>
        <v>5.0904482927553563</v>
      </c>
      <c r="K1199" s="1" cm="1">
        <f t="array" ref="K1199">SUMPRODUCT(("T-Plg-DSL-mix_S3"=[1]OUT_TransportEnergyCons!$A$3:$A$1000)*1,("Var_Fin"=[1]OUT_TransportEnergyCons!$B$3:$B$1000)*1,ISNUMBER(SEARCH("DSL",[1]OUT_TransportEnergyCons!$C$3:$C$1000))*1,[1]OUT_TransportEnergyCons!I$3:I$1000)</f>
        <v>0.57625748268582433</v>
      </c>
    </row>
    <row r="1200" spans="2:11" x14ac:dyDescent="0.35">
      <c r="B1200" s="5" t="str">
        <f t="shared" si="782"/>
        <v>SPS1</v>
      </c>
      <c r="C1200" s="5" t="str">
        <f t="shared" si="783"/>
        <v>CH</v>
      </c>
      <c r="D1200" t="s">
        <v>1303</v>
      </c>
      <c r="E1200" t="s">
        <v>8</v>
      </c>
      <c r="F1200" s="1" cm="1">
        <f t="array" ref="F1200">SUMPRODUCT(("T-Plg-DSL-mix_S4"=[1]OUT_TransportEnergyCons!$A$3:$A$1000)*1,("Var_Fin"=[1]OUT_TransportEnergyCons!$B$3:$B$1000)*1,ISNUMBER(SEARCH("DSL",[1]OUT_TransportEnergyCons!$C$3:$C$1000))*1,[1]OUT_TransportEnergyCons!D$3:D$1000)</f>
        <v>5.789937909494002E-3</v>
      </c>
      <c r="G1200" s="1" cm="1">
        <f t="array" ref="G1200">SUMPRODUCT(("T-Plg-DSL-mix_S4"=[1]OUT_TransportEnergyCons!$A$3:$A$1000)*1,("Var_Fin"=[1]OUT_TransportEnergyCons!$B$3:$B$1000)*1,ISNUMBER(SEARCH("DSL",[1]OUT_TransportEnergyCons!$C$3:$C$1000))*1,[1]OUT_TransportEnergyCons!E$3:E$1000)</f>
        <v>1.5356564213526647E-2</v>
      </c>
      <c r="H1200" s="1" cm="1">
        <f t="array" ref="H1200">SUMPRODUCT(("T-Plg-DSL-mix_S4"=[1]OUT_TransportEnergyCons!$A$3:$A$1000)*1,("Var_Fin"=[1]OUT_TransportEnergyCons!$B$3:$B$1000)*1,ISNUMBER(SEARCH("DSL",[1]OUT_TransportEnergyCons!$C$3:$C$1000))*1,[1]OUT_TransportEnergyCons!F$3:F$1000)</f>
        <v>1.8242520837143322E-2</v>
      </c>
      <c r="I1200" s="1" cm="1">
        <f t="array" ref="I1200">SUMPRODUCT(("T-Plg-DSL-mix_S4"=[1]OUT_TransportEnergyCons!$A$3:$A$1000)*1,("Var_Fin"=[1]OUT_TransportEnergyCons!$B$3:$B$1000)*1,ISNUMBER(SEARCH("DSL",[1]OUT_TransportEnergyCons!$C$3:$C$1000))*1,[1]OUT_TransportEnergyCons!G$3:G$1000)</f>
        <v>3.7795007263227848E-2</v>
      </c>
      <c r="J1200" s="1" cm="1">
        <f t="array" ref="J1200">SUMPRODUCT(("T-Plg-DSL-mix_S4"=[1]OUT_TransportEnergyCons!$A$3:$A$1000)*1,("Var_Fin"=[1]OUT_TransportEnergyCons!$B$3:$B$1000)*1,ISNUMBER(SEARCH("DSL",[1]OUT_TransportEnergyCons!$C$3:$C$1000))*1,[1]OUT_TransportEnergyCons!H$3:H$1000)</f>
        <v>7.2818436475097035E-3</v>
      </c>
      <c r="K1200" s="1" cm="1">
        <f t="array" ref="K1200">SUMPRODUCT(("T-Plg-DSL-mix_S4"=[1]OUT_TransportEnergyCons!$A$3:$A$1000)*1,("Var_Fin"=[1]OUT_TransportEnergyCons!$B$3:$B$1000)*1,ISNUMBER(SEARCH("DSL",[1]OUT_TransportEnergyCons!$C$3:$C$1000))*1,[1]OUT_TransportEnergyCons!I$3:I$1000)</f>
        <v>2.3920942660161454E-4</v>
      </c>
    </row>
    <row r="1201" spans="2:11" x14ac:dyDescent="0.35">
      <c r="B1201" s="5" t="str">
        <f t="shared" si="782"/>
        <v>SPS1</v>
      </c>
      <c r="C1201" s="5" t="str">
        <f t="shared" si="783"/>
        <v>CH</v>
      </c>
      <c r="D1201" t="s">
        <v>1304</v>
      </c>
      <c r="E1201" t="s">
        <v>8</v>
      </c>
      <c r="F1201" s="1">
        <f>SUM(F1206:F1210)</f>
        <v>0.11240297379124299</v>
      </c>
      <c r="G1201" s="1">
        <f t="shared" ref="G1201:K1201" si="805">SUM(G1206:G1210)</f>
        <v>0.10978061452705985</v>
      </c>
      <c r="H1201" s="1">
        <f t="shared" si="805"/>
        <v>0.11037077504136936</v>
      </c>
      <c r="I1201" s="1">
        <f t="shared" si="805"/>
        <v>8.8236147685051309E-4</v>
      </c>
      <c r="J1201" s="1">
        <f t="shared" si="805"/>
        <v>2.5961067222224014E-5</v>
      </c>
      <c r="K1201" s="1">
        <f t="shared" si="805"/>
        <v>0</v>
      </c>
    </row>
    <row r="1202" spans="2:11" x14ac:dyDescent="0.35">
      <c r="B1202" s="5" t="str">
        <f t="shared" si="782"/>
        <v>SPS1</v>
      </c>
      <c r="C1202" s="5" t="str">
        <f t="shared" si="783"/>
        <v>CH</v>
      </c>
      <c r="D1202" t="s">
        <v>1336</v>
      </c>
      <c r="E1202" t="s">
        <v>8</v>
      </c>
      <c r="F1202" s="1">
        <f>F1201-F1203</f>
        <v>0.10399342456802639</v>
      </c>
      <c r="G1202" s="1">
        <f t="shared" ref="G1202:K1202" si="806">G1201-G1203</f>
        <v>9.9162593310790775E-2</v>
      </c>
      <c r="H1202" s="1">
        <f t="shared" si="806"/>
        <v>0.10928381635723172</v>
      </c>
      <c r="I1202" s="1">
        <f t="shared" si="806"/>
        <v>8.7179323530038133E-4</v>
      </c>
      <c r="J1202" s="1">
        <f t="shared" si="806"/>
        <v>2.3277499363709929E-5</v>
      </c>
      <c r="K1202" s="1">
        <f t="shared" si="806"/>
        <v>0</v>
      </c>
    </row>
    <row r="1203" spans="2:11" x14ac:dyDescent="0.35">
      <c r="B1203" s="5" t="str">
        <f t="shared" si="782"/>
        <v>SPS1</v>
      </c>
      <c r="C1203" s="5" t="str">
        <f t="shared" si="783"/>
        <v>CH</v>
      </c>
      <c r="D1203" t="s">
        <v>1337</v>
      </c>
      <c r="E1203" t="s">
        <v>8</v>
      </c>
      <c r="F1203" s="1">
        <f>SUM(F1204:F1205)</f>
        <v>8.4095492232166055E-3</v>
      </c>
      <c r="G1203" s="1">
        <f t="shared" ref="G1203" si="807">SUM(G1204:G1205)</f>
        <v>1.0618021216269074E-2</v>
      </c>
      <c r="H1203" s="1">
        <f t="shared" ref="H1203" si="808">SUM(H1204:H1205)</f>
        <v>1.0869586841376394E-3</v>
      </c>
      <c r="I1203" s="1">
        <f t="shared" ref="I1203" si="809">SUM(I1204:I1205)</f>
        <v>1.0568241550131716E-5</v>
      </c>
      <c r="J1203" s="1">
        <f t="shared" ref="J1203" si="810">SUM(J1204:J1205)</f>
        <v>2.6835678585140843E-6</v>
      </c>
      <c r="K1203" s="1">
        <f t="shared" ref="K1203" si="811">SUM(K1204:K1205)</f>
        <v>0</v>
      </c>
    </row>
    <row r="1204" spans="2:11" x14ac:dyDescent="0.35">
      <c r="B1204" s="5" t="str">
        <f t="shared" si="782"/>
        <v>SPS1</v>
      </c>
      <c r="C1204" s="5" t="str">
        <f t="shared" si="783"/>
        <v>CH</v>
      </c>
      <c r="D1204" t="s">
        <v>1338</v>
      </c>
      <c r="E1204" t="s">
        <v>8</v>
      </c>
      <c r="F1204" s="1">
        <f>[1]Transport!B$27/SUM([1]Transport!B$24,[1]Transport!B$27)*F1201*(F$45+F$612)/(F$45+F$612+F$47)</f>
        <v>8.4095492232166055E-3</v>
      </c>
      <c r="G1204" s="1">
        <f>[1]Transport!C$27/SUM([1]Transport!C$24,[1]Transport!C$27)*G1201*(G$45+G$612)/(G$45+G$612+G$47)</f>
        <v>1.0618021216269074E-2</v>
      </c>
      <c r="H1204" s="1">
        <f>[1]Transport!D$27/SUM([1]Transport!D$24,[1]Transport!D$27)*H1201*(H$45+H$612)/(H$45+H$612+H$47)</f>
        <v>1.0869586841376394E-3</v>
      </c>
      <c r="I1204" s="1">
        <f>[1]Transport!E$27/SUM([1]Transport!E$24,[1]Transport!E$27)*I1201*(I$45+I$612)/(I$45+I$612+I$47)</f>
        <v>1.0568241550131716E-5</v>
      </c>
      <c r="J1204" s="1">
        <f>[1]Transport!F$27/SUM([1]Transport!F$24,[1]Transport!F$27)*J1201*(J$45+J$612)/(J$45+J$612+J$47)</f>
        <v>9.6935024985103818E-7</v>
      </c>
      <c r="K1204" s="1">
        <f>[1]Transport!G$27/SUM([1]Transport!G$24,[1]Transport!G$27)*K1201*(K$45+K$612)/(K$45+K$612+K$47)</f>
        <v>0</v>
      </c>
    </row>
    <row r="1205" spans="2:11" x14ac:dyDescent="0.35">
      <c r="B1205" s="5" t="str">
        <f t="shared" si="782"/>
        <v>SPS1</v>
      </c>
      <c r="C1205" s="5" t="str">
        <f t="shared" si="783"/>
        <v>CH</v>
      </c>
      <c r="D1205" t="s">
        <v>1339</v>
      </c>
      <c r="E1205" t="s">
        <v>8</v>
      </c>
      <c r="F1205" s="1">
        <f>(F$47+F$714)/([1]Transport!B$24+[1]Transport!B$27)*F1201</f>
        <v>0</v>
      </c>
      <c r="G1205" s="1">
        <f>(G$47+G$714)/([1]Transport!C$24+[1]Transport!C$27)*G1201</f>
        <v>0</v>
      </c>
      <c r="H1205" s="1">
        <f>(H$47+H$714)/([1]Transport!D$24+[1]Transport!D$27)*H1201</f>
        <v>0</v>
      </c>
      <c r="I1205" s="1">
        <f>(I$47+I$714)/([1]Transport!E$24+[1]Transport!E$27)*I1201</f>
        <v>0</v>
      </c>
      <c r="J1205" s="1">
        <f>(J$47+J$714)/([1]Transport!F$24+[1]Transport!F$27)*J1201</f>
        <v>1.7142176086630461E-6</v>
      </c>
      <c r="K1205" s="1">
        <f>(K$47+K$714)/([1]Transport!G$24+[1]Transport!G$27)*K1201</f>
        <v>0</v>
      </c>
    </row>
    <row r="1206" spans="2:11" x14ac:dyDescent="0.35">
      <c r="B1206" s="5" t="str">
        <f>B1201</f>
        <v>SPS1</v>
      </c>
      <c r="C1206" s="5" t="str">
        <f>C1201</f>
        <v>CH</v>
      </c>
      <c r="D1206" t="s">
        <v>1331</v>
      </c>
      <c r="E1206" t="s">
        <v>8</v>
      </c>
      <c r="F1206" s="1" cm="1">
        <f t="array" ref="F1206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6" s="1" cm="1">
        <f t="array" ref="G1206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6" s="1" cm="1">
        <f t="array" ref="H1206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6" s="1" cm="1">
        <f t="array" ref="I1206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6" s="1" cm="1">
        <f t="array" ref="J1206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6" s="1" cm="1">
        <f t="array" ref="K1206">SUMPRODUCT(("T_C-ICENGAEXT"=[1]OUT_TransportEnergyCons!$A$3:$A$1000)*1,("Var_Fin"=[1]OUT_TransportEnergyCons!$B$3:$B$1000)*1,ISNUMBER(SEARCH("NGA",[1]OUT_TransportEnergyCons!$C$3:$C$1000))*1,[1]OUT_TransportEnergyCons!I$3:I$1000)</f>
        <v>0</v>
      </c>
    </row>
    <row r="1207" spans="2:11" x14ac:dyDescent="0.35">
      <c r="B1207" s="5" t="str">
        <f t="shared" si="782"/>
        <v>SPS1</v>
      </c>
      <c r="C1207" s="5" t="str">
        <f t="shared" si="783"/>
        <v>CH</v>
      </c>
      <c r="D1207" t="s">
        <v>1332</v>
      </c>
      <c r="E1207" t="s">
        <v>8</v>
      </c>
      <c r="F1207" s="1" cm="1">
        <f t="array" ref="F1207">SUMPRODUCT(("T_C-ICE-NGA-S1"=[1]OUT_TransportEnergyCons!$A$3:$A$1000)*1,("Var_Fin"=[1]OUT_TransportEnergyCons!$B$3:$B$1000)*1,ISNUMBER(SEARCH("NGA",[1]OUT_TransportEnergyCons!$C$3:$C$1000))*1,[1]OUT_TransportEnergyCons!D$3:D$1000)</f>
        <v>3.6639713213856111E-3</v>
      </c>
      <c r="G1207" s="1" cm="1">
        <f t="array" ref="G1207">SUMPRODUCT(("T_C-ICE-NGA-S1"=[1]OUT_TransportEnergyCons!$A$3:$A$1000)*1,("Var_Fin"=[1]OUT_TransportEnergyCons!$B$3:$B$1000)*1,ISNUMBER(SEARCH("NGA",[1]OUT_TransportEnergyCons!$C$3:$C$1000))*1,[1]OUT_TransportEnergyCons!E$3:E$1000)</f>
        <v>1.9298941591448509E-3</v>
      </c>
      <c r="H1207" s="1" cm="1">
        <f t="array" ref="H1207">SUMPRODUCT(("T_C-ICE-NGA-S1"=[1]OUT_TransportEnergyCons!$A$3:$A$1000)*1,("Var_Fin"=[1]OUT_TransportEnergyCons!$B$3:$B$1000)*1,ISNUMBER(SEARCH("NGA",[1]OUT_TransportEnergyCons!$C$3:$C$1000))*1,[1]OUT_TransportEnergyCons!F$3:F$1000)</f>
        <v>1.7794154246002921E-3</v>
      </c>
      <c r="I1207" s="1" cm="1">
        <f t="array" ref="I1207">SUMPRODUCT(("T_C-ICE-NGA-S1"=[1]OUT_TransportEnergyCons!$A$3:$A$1000)*1,("Var_Fin"=[1]OUT_TransportEnergyCons!$B$3:$B$1000)*1,ISNUMBER(SEARCH("NGA",[1]OUT_TransportEnergyCons!$C$3:$C$1000))*1,[1]OUT_TransportEnergyCons!G$3:G$1000)</f>
        <v>1.3759880985017995E-4</v>
      </c>
      <c r="J1207" s="1" cm="1">
        <f t="array" ref="J1207">SUMPRODUCT(("T_C-ICE-NGA-S1"=[1]OUT_TransportEnergyCons!$A$3:$A$1000)*1,("Var_Fin"=[1]OUT_TransportEnergyCons!$B$3:$B$1000)*1,ISNUMBER(SEARCH("NGA",[1]OUT_TransportEnergyCons!$C$3:$C$1000))*1,[1]OUT_TransportEnergyCons!H$3:H$1000)</f>
        <v>2.684227472315733E-6</v>
      </c>
      <c r="K1207" s="1" cm="1">
        <f t="array" ref="K1207">SUMPRODUCT(("T_C-ICE-NGA-S1"=[1]OUT_TransportEnergyCons!$A$3:$A$1000)*1,("Var_Fin"=[1]OUT_TransportEnergyCons!$B$3:$B$1000)*1,ISNUMBER(SEARCH("NGA",[1]OUT_TransportEnergyCons!$C$3:$C$1000))*1,[1]OUT_TransportEnergyCons!I$3:I$1000)</f>
        <v>0</v>
      </c>
    </row>
    <row r="1208" spans="2:11" x14ac:dyDescent="0.35">
      <c r="B1208" s="5" t="str">
        <f t="shared" si="782"/>
        <v>SPS1</v>
      </c>
      <c r="C1208" s="5" t="str">
        <f t="shared" si="783"/>
        <v>CH</v>
      </c>
      <c r="D1208" t="s">
        <v>1333</v>
      </c>
      <c r="E1208" t="s">
        <v>8</v>
      </c>
      <c r="F1208" s="1" cm="1">
        <f t="array" ref="F1208">SUMPRODUCT(("T_C-ICE-NGA-S2"=[1]OUT_TransportEnergyCons!$A$3:$A$1000)*1,("Var_Fin"=[1]OUT_TransportEnergyCons!$B$3:$B$1000)*1,ISNUMBER(SEARCH("NGA",[1]OUT_TransportEnergyCons!$C$3:$C$1000))*1,[1]OUT_TransportEnergyCons!D$3:D$1000)</f>
        <v>5.5997344438882268E-2</v>
      </c>
      <c r="G1208" s="1" cm="1">
        <f t="array" ref="G1208">SUMPRODUCT(("T_C-ICE-NGA-S2"=[1]OUT_TransportEnergyCons!$A$3:$A$1000)*1,("Var_Fin"=[1]OUT_TransportEnergyCons!$B$3:$B$1000)*1,ISNUMBER(SEARCH("NGA",[1]OUT_TransportEnergyCons!$C$3:$C$1000))*1,[1]OUT_TransportEnergyCons!E$3:E$1000)</f>
        <v>5.5930443050740512E-2</v>
      </c>
      <c r="H1208" s="1" cm="1">
        <f t="array" ref="H1208">SUMPRODUCT(("T_C-ICE-NGA-S2"=[1]OUT_TransportEnergyCons!$A$3:$A$1000)*1,("Var_Fin"=[1]OUT_TransportEnergyCons!$B$3:$B$1000)*1,ISNUMBER(SEARCH("NGA",[1]OUT_TransportEnergyCons!$C$3:$C$1000))*1,[1]OUT_TransportEnergyCons!F$3:F$1000)</f>
        <v>5.9835282689478977E-2</v>
      </c>
      <c r="I1208" s="1" cm="1">
        <f t="array" ref="I1208">SUMPRODUCT(("T_C-ICE-NGA-S2"=[1]OUT_TransportEnergyCons!$A$3:$A$1000)*1,("Var_Fin"=[1]OUT_TransportEnergyCons!$B$3:$B$1000)*1,ISNUMBER(SEARCH("NGA",[1]OUT_TransportEnergyCons!$C$3:$C$1000))*1,[1]OUT_TransportEnergyCons!G$3:G$1000)</f>
        <v>1.4640849403822829E-4</v>
      </c>
      <c r="J1208" s="1" cm="1">
        <f t="array" ref="J1208">SUMPRODUCT(("T_C-ICE-NGA-S2"=[1]OUT_TransportEnergyCons!$A$3:$A$1000)*1,("Var_Fin"=[1]OUT_TransportEnergyCons!$B$3:$B$1000)*1,ISNUMBER(SEARCH("NGA",[1]OUT_TransportEnergyCons!$C$3:$C$1000))*1,[1]OUT_TransportEnergyCons!H$3:H$1000)</f>
        <v>6.6454656349000604E-6</v>
      </c>
      <c r="K1208" s="1" cm="1">
        <f t="array" ref="K1208">SUMPRODUCT(("T_C-ICE-NGA-S2"=[1]OUT_TransportEnergyCons!$A$3:$A$1000)*1,("Var_Fin"=[1]OUT_TransportEnergyCons!$B$3:$B$1000)*1,ISNUMBER(SEARCH("NGA",[1]OUT_TransportEnergyCons!$C$3:$C$1000))*1,[1]OUT_TransportEnergyCons!I$3:I$1000)</f>
        <v>0</v>
      </c>
    </row>
    <row r="1209" spans="2:11" x14ac:dyDescent="0.35">
      <c r="B1209" s="5" t="str">
        <f t="shared" si="782"/>
        <v>SPS1</v>
      </c>
      <c r="C1209" s="5" t="str">
        <f t="shared" si="783"/>
        <v>CH</v>
      </c>
      <c r="D1209" t="s">
        <v>1334</v>
      </c>
      <c r="E1209" t="s">
        <v>8</v>
      </c>
      <c r="F1209" s="1" cm="1">
        <f t="array" ref="F1209">SUMPRODUCT(("T_C-ICE-NGA-S3"=[1]OUT_TransportEnergyCons!$A$3:$A$1000)*1,("Var_Fin"=[1]OUT_TransportEnergyCons!$B$3:$B$1000)*1,ISNUMBER(SEARCH("NGA",[1]OUT_TransportEnergyCons!$C$3:$C$1000))*1,[1]OUT_TransportEnergyCons!D$3:D$1000)</f>
        <v>4.4078154086979954E-3</v>
      </c>
      <c r="G1209" s="1" cm="1">
        <f t="array" ref="G1209">SUMPRODUCT(("T_C-ICE-NGA-S3"=[1]OUT_TransportEnergyCons!$A$3:$A$1000)*1,("Var_Fin"=[1]OUT_TransportEnergyCons!$B$3:$B$1000)*1,ISNUMBER(SEARCH("NGA",[1]OUT_TransportEnergyCons!$C$3:$C$1000))*1,[1]OUT_TransportEnergyCons!E$3:E$1000)</f>
        <v>4.7598310661873438E-3</v>
      </c>
      <c r="H1209" s="1" cm="1">
        <f t="array" ref="H1209">SUMPRODUCT(("T_C-ICE-NGA-S3"=[1]OUT_TransportEnergyCons!$A$3:$A$1000)*1,("Var_Fin"=[1]OUT_TransportEnergyCons!$B$3:$B$1000)*1,ISNUMBER(SEARCH("NGA",[1]OUT_TransportEnergyCons!$C$3:$C$1000))*1,[1]OUT_TransportEnergyCons!F$3:F$1000)</f>
        <v>4.8623480790845044E-3</v>
      </c>
      <c r="I1209" s="1" cm="1">
        <f t="array" ref="I1209">SUMPRODUCT(("T_C-ICE-NGA-S3"=[1]OUT_TransportEnergyCons!$A$3:$A$1000)*1,("Var_Fin"=[1]OUT_TransportEnergyCons!$B$3:$B$1000)*1,ISNUMBER(SEARCH("NGA",[1]OUT_TransportEnergyCons!$C$3:$C$1000))*1,[1]OUT_TransportEnergyCons!G$3:G$1000)</f>
        <v>5.0923839819785692E-4</v>
      </c>
      <c r="J1209" s="1" cm="1">
        <f t="array" ref="J1209">SUMPRODUCT(("T_C-ICE-NGA-S3"=[1]OUT_TransportEnergyCons!$A$3:$A$1000)*1,("Var_Fin"=[1]OUT_TransportEnergyCons!$B$3:$B$1000)*1,ISNUMBER(SEARCH("NGA",[1]OUT_TransportEnergyCons!$C$3:$C$1000))*1,[1]OUT_TransportEnergyCons!H$3:H$1000)</f>
        <v>8.9178250496658595E-6</v>
      </c>
      <c r="K1209" s="1" cm="1">
        <f t="array" ref="K1209">SUMPRODUCT(("T_C-ICE-NGA-S3"=[1]OUT_TransportEnergyCons!$A$3:$A$1000)*1,("Var_Fin"=[1]OUT_TransportEnergyCons!$B$3:$B$1000)*1,ISNUMBER(SEARCH("NGA",[1]OUT_TransportEnergyCons!$C$3:$C$1000))*1,[1]OUT_TransportEnergyCons!I$3:I$1000)</f>
        <v>0</v>
      </c>
    </row>
    <row r="1210" spans="2:11" x14ac:dyDescent="0.35">
      <c r="B1210" s="5" t="str">
        <f t="shared" si="782"/>
        <v>SPS1</v>
      </c>
      <c r="C1210" s="5" t="str">
        <f t="shared" si="783"/>
        <v>CH</v>
      </c>
      <c r="D1210" t="s">
        <v>1335</v>
      </c>
      <c r="E1210" t="s">
        <v>8</v>
      </c>
      <c r="F1210" s="1" cm="1">
        <f t="array" ref="F1210">SUMPRODUCT(("T_C-ICE-NGA-S4"=[1]OUT_TransportEnergyCons!$A$3:$A$1000)*1,("Var_Fin"=[1]OUT_TransportEnergyCons!$B$3:$B$1000)*1,ISNUMBER(SEARCH("NGA",[1]OUT_TransportEnergyCons!$C$3:$C$1000))*1,[1]OUT_TransportEnergyCons!D$3:D$1000)</f>
        <v>4.8333842622277107E-2</v>
      </c>
      <c r="G1210" s="1" cm="1">
        <f t="array" ref="G1210">SUMPRODUCT(("T_C-ICE-NGA-S4"=[1]OUT_TransportEnergyCons!$A$3:$A$1000)*1,("Var_Fin"=[1]OUT_TransportEnergyCons!$B$3:$B$1000)*1,ISNUMBER(SEARCH("NGA",[1]OUT_TransportEnergyCons!$C$3:$C$1000))*1,[1]OUT_TransportEnergyCons!E$3:E$1000)</f>
        <v>4.7160446250987142E-2</v>
      </c>
      <c r="H1210" s="1" cm="1">
        <f t="array" ref="H1210">SUMPRODUCT(("T_C-ICE-NGA-S4"=[1]OUT_TransportEnergyCons!$A$3:$A$1000)*1,("Var_Fin"=[1]OUT_TransportEnergyCons!$B$3:$B$1000)*1,ISNUMBER(SEARCH("NGA",[1]OUT_TransportEnergyCons!$C$3:$C$1000))*1,[1]OUT_TransportEnergyCons!F$3:F$1000)</f>
        <v>4.3893728848205589E-2</v>
      </c>
      <c r="I1210" s="1" cm="1">
        <f t="array" ref="I1210">SUMPRODUCT(("T_C-ICE-NGA-S4"=[1]OUT_TransportEnergyCons!$A$3:$A$1000)*1,("Var_Fin"=[1]OUT_TransportEnergyCons!$B$3:$B$1000)*1,ISNUMBER(SEARCH("NGA",[1]OUT_TransportEnergyCons!$C$3:$C$1000))*1,[1]OUT_TransportEnergyCons!G$3:G$1000)</f>
        <v>8.9115774764247972E-5</v>
      </c>
      <c r="J1210" s="1" cm="1">
        <f t="array" ref="J1210">SUMPRODUCT(("T_C-ICE-NGA-S4"=[1]OUT_TransportEnergyCons!$A$3:$A$1000)*1,("Var_Fin"=[1]OUT_TransportEnergyCons!$B$3:$B$1000)*1,ISNUMBER(SEARCH("NGA",[1]OUT_TransportEnergyCons!$C$3:$C$1000))*1,[1]OUT_TransportEnergyCons!H$3:H$1000)</f>
        <v>7.7135490653423601E-6</v>
      </c>
      <c r="K1210" s="1" cm="1">
        <f t="array" ref="K1210">SUMPRODUCT(("T_C-ICE-NGA-S4"=[1]OUT_TransportEnergyCons!$A$3:$A$1000)*1,("Var_Fin"=[1]OUT_TransportEnergyCons!$B$3:$B$1000)*1,ISNUMBER(SEARCH("NGA",[1]OUT_TransportEnergyCons!$C$3:$C$1000))*1,[1]OUT_TransportEnergyCons!I$3:I$1000)</f>
        <v>0</v>
      </c>
    </row>
    <row r="1211" spans="2:11" x14ac:dyDescent="0.35">
      <c r="B1211" s="5" t="str">
        <f t="shared" si="782"/>
        <v>SPS1</v>
      </c>
      <c r="C1211" s="5" t="str">
        <f t="shared" si="783"/>
        <v>CH</v>
      </c>
      <c r="D1211" s="2" t="s">
        <v>1133</v>
      </c>
      <c r="E1211" s="2" t="s">
        <v>1132</v>
      </c>
      <c r="F1211" s="3">
        <f>SUM(F1212:F1261)</f>
        <v>49.003289290417143</v>
      </c>
      <c r="G1211" s="3">
        <f t="shared" ref="G1211:K1211" si="812">SUM(G1212:G1261)</f>
        <v>55.671240034639723</v>
      </c>
      <c r="H1211" s="3">
        <f t="shared" si="812"/>
        <v>58.440149974380539</v>
      </c>
      <c r="I1211" s="3">
        <f t="shared" si="812"/>
        <v>62.339392760485026</v>
      </c>
      <c r="J1211" s="3">
        <f t="shared" si="812"/>
        <v>62.344581246121095</v>
      </c>
      <c r="K1211" s="3">
        <f t="shared" si="812"/>
        <v>61.1505609064033</v>
      </c>
    </row>
    <row r="1212" spans="2:11" x14ac:dyDescent="0.35">
      <c r="B1212" s="5" t="str">
        <f>B1211</f>
        <v>SPS1</v>
      </c>
      <c r="C1212" s="5" t="str">
        <f>C1211</f>
        <v>CH</v>
      </c>
      <c r="D1212" t="s">
        <v>1134</v>
      </c>
      <c r="E1212" t="str">
        <f>E1211</f>
        <v>billion km/yr.</v>
      </c>
      <c r="F1212" s="1" cm="1">
        <f t="array" ref="F1212">SUMPRODUCT(("T_C-BATELCEXT"=[1]OUT_TransportEnergyCons!$A$3:$A$1000)*1,("var_fout"=[1]OUT_TransportEnergyCons!$B$3:$B$1000)*1,ISNUMBER(SEARCH("TPCAR",[1]OUT_TransportEnergyCons!$C$3:$C$1000))*1,[1]OUT_TransportEnergyCons!D$3:D$1000)</f>
        <v>0.41619583360497442</v>
      </c>
      <c r="G1212" s="1" cm="1">
        <f t="array" ref="G1212">SUMPRODUCT(("T_C-BATELCEXT"=[1]OUT_TransportEnergyCons!$A$3:$A$1000)*1,("var_fout"=[1]OUT_TransportEnergyCons!$B$3:$B$1000)*1,ISNUMBER(SEARCH("TPCAR",[1]OUT_TransportEnergyCons!$C$3:$C$1000))*1,[1]OUT_TransportEnergyCons!E$3:E$1000)</f>
        <v>0.36070440545247773</v>
      </c>
      <c r="H1212" s="1" cm="1">
        <f t="array" ref="H1212">SUMPRODUCT(("T_C-BATELCEXT"=[1]OUT_TransportEnergyCons!$A$3:$A$1000)*1,("var_fout"=[1]OUT_TransportEnergyCons!$B$3:$B$1000)*1,ISNUMBER(SEARCH("TPCAR",[1]OUT_TransportEnergyCons!$C$3:$C$1000))*1,[1]OUT_TransportEnergyCons!F$3:F$1000)</f>
        <v>0.27746286219777522</v>
      </c>
      <c r="I1212" s="1" cm="1">
        <f t="array" ref="I1212">SUMPRODUCT(("T_C-BATELCEXT"=[1]OUT_TransportEnergyCons!$A$3:$A$1000)*1,("var_fout"=[1]OUT_TransportEnergyCons!$B$3:$B$1000)*1,ISNUMBER(SEARCH("TPCAR",[1]OUT_TransportEnergyCons!$C$3:$C$1000))*1,[1]OUT_TransportEnergyCons!G$3:G$1000)</f>
        <v>0.1387319977790038</v>
      </c>
      <c r="J1212" s="1" cm="1">
        <f t="array" ref="J1212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2" s="1" cm="1">
        <f t="array" ref="K1212">SUMPRODUCT(("T_C-BATELCEXT"=[1]OUT_TransportEnergyCons!$A$3:$A$1000)*1,("var_fout"=[1]OUT_TransportEnergyCons!$B$3:$B$1000)*1,ISNUMBER(SEARCH("TPCAR",[1]OUT_TransportEnergyCons!$C$3:$C$1000))*1,[1]OUT_TransportEnergyCons!I$3:I$1000)</f>
        <v>0</v>
      </c>
    </row>
    <row r="1213" spans="2:11" x14ac:dyDescent="0.35">
      <c r="B1213" s="5" t="str">
        <f t="shared" si="782"/>
        <v>SPS1</v>
      </c>
      <c r="C1213" s="5" t="str">
        <f t="shared" si="783"/>
        <v>CH</v>
      </c>
      <c r="D1213" t="s">
        <v>1135</v>
      </c>
      <c r="E1213" t="str">
        <f t="shared" ref="E1213:E1261" si="813">E1212</f>
        <v>billion km/yr.</v>
      </c>
      <c r="F1213" s="1" cm="1">
        <f t="array" ref="F1213">SUMPRODUCT(("T_C-BAT-ELC-S1"=[1]OUT_TransportEnergyCons!$A$3:$A$1000)*1,("var_fout"=[1]OUT_TransportEnergyCons!$B$3:$B$1000)*1,ISNUMBER(SEARCH("TPCAR",[1]OUT_TransportEnergyCons!$C$3:$C$1000))*1,[1]OUT_TransportEnergyCons!D$3:D$1000)</f>
        <v>1.3919666755587659E-2</v>
      </c>
      <c r="G1213" s="1" cm="1">
        <f t="array" ref="G1213">SUMPRODUCT(("T_C-BAT-ELC-S1"=[1]OUT_TransportEnergyCons!$A$3:$A$1000)*1,("var_fout"=[1]OUT_TransportEnergyCons!$B$3:$B$1000)*1,ISNUMBER(SEARCH("TPCAR",[1]OUT_TransportEnergyCons!$C$3:$C$1000))*1,[1]OUT_TransportEnergyCons!E$3:E$1000)</f>
        <v>2.5214335505497266E-2</v>
      </c>
      <c r="H1213" s="1" cm="1">
        <f t="array" ref="H1213">SUMPRODUCT(("T_C-BAT-ELC-S1"=[1]OUT_TransportEnergyCons!$A$3:$A$1000)*1,("var_fout"=[1]OUT_TransportEnergyCons!$B$3:$B$1000)*1,ISNUMBER(SEARCH("TPCAR",[1]OUT_TransportEnergyCons!$C$3:$C$1000))*1,[1]OUT_TransportEnergyCons!F$3:F$1000)</f>
        <v>2.0378625380494075E-2</v>
      </c>
      <c r="I1213" s="1" cm="1">
        <f t="array" ref="I1213">SUMPRODUCT(("T_C-BAT-ELC-S1"=[1]OUT_TransportEnergyCons!$A$3:$A$1000)*1,("var_fout"=[1]OUT_TransportEnergyCons!$B$3:$B$1000)*1,ISNUMBER(SEARCH("TPCAR",[1]OUT_TransportEnergyCons!$C$3:$C$1000))*1,[1]OUT_TransportEnergyCons!G$3:G$1000)</f>
        <v>0.95401319439231125</v>
      </c>
      <c r="J1213" s="1" cm="1">
        <f t="array" ref="J1213">SUMPRODUCT(("T_C-BAT-ELC-S1"=[1]OUT_TransportEnergyCons!$A$3:$A$1000)*1,("var_fout"=[1]OUT_TransportEnergyCons!$B$3:$B$1000)*1,ISNUMBER(SEARCH("TPCAR",[1]OUT_TransportEnergyCons!$C$3:$C$1000))*1,[1]OUT_TransportEnergyCons!H$3:H$1000)</f>
        <v>2.3202046822027054</v>
      </c>
      <c r="K1213" s="1" cm="1">
        <f t="array" ref="K1213">SUMPRODUCT(("T_C-BAT-ELC-S1"=[1]OUT_TransportEnergyCons!$A$3:$A$1000)*1,("var_fout"=[1]OUT_TransportEnergyCons!$B$3:$B$1000)*1,ISNUMBER(SEARCH("TPCAR",[1]OUT_TransportEnergyCons!$C$3:$C$1000))*1,[1]OUT_TransportEnergyCons!I$3:I$1000)</f>
        <v>2.4475706331097062</v>
      </c>
    </row>
    <row r="1214" spans="2:11" x14ac:dyDescent="0.35">
      <c r="B1214" s="5" t="str">
        <f t="shared" si="782"/>
        <v>SPS1</v>
      </c>
      <c r="C1214" s="5" t="str">
        <f t="shared" si="783"/>
        <v>CH</v>
      </c>
      <c r="D1214" t="s">
        <v>1136</v>
      </c>
      <c r="E1214" t="str">
        <f t="shared" si="813"/>
        <v>billion km/yr.</v>
      </c>
      <c r="F1214" s="1" cm="1">
        <f t="array" ref="F1214">SUMPRODUCT(("T_C-BAT-ELC-S2"=[1]OUT_TransportEnergyCons!$A$3:$A$1000)*1,("var_fout"=[1]OUT_TransportEnergyCons!$B$3:$B$1000)*1,ISNUMBER(SEARCH("TPCAR",[1]OUT_TransportEnergyCons!$C$3:$C$1000))*1,[1]OUT_TransportEnergyCons!D$3:D$1000)</f>
        <v>9.686606614680808E-2</v>
      </c>
      <c r="G1214" s="1" cm="1">
        <f t="array" ref="G1214">SUMPRODUCT(("T_C-BAT-ELC-S2"=[1]OUT_TransportEnergyCons!$A$3:$A$1000)*1,("var_fout"=[1]OUT_TransportEnergyCons!$B$3:$B$1000)*1,ISNUMBER(SEARCH("TPCAR",[1]OUT_TransportEnergyCons!$C$3:$C$1000))*1,[1]OUT_TransportEnergyCons!E$3:E$1000)</f>
        <v>0.15039982778646693</v>
      </c>
      <c r="H1214" s="1" cm="1">
        <f t="array" ref="H1214">SUMPRODUCT(("T_C-BAT-ELC-S2"=[1]OUT_TransportEnergyCons!$A$3:$A$1000)*1,("var_fout"=[1]OUT_TransportEnergyCons!$B$3:$B$1000)*1,ISNUMBER(SEARCH("TPCAR",[1]OUT_TransportEnergyCons!$C$3:$C$1000))*1,[1]OUT_TransportEnergyCons!F$3:F$1000)</f>
        <v>1.3999814139431279</v>
      </c>
      <c r="I1214" s="1" cm="1">
        <f t="array" ref="I1214">SUMPRODUCT(("T_C-BAT-ELC-S2"=[1]OUT_TransportEnergyCons!$A$3:$A$1000)*1,("var_fout"=[1]OUT_TransportEnergyCons!$B$3:$B$1000)*1,ISNUMBER(SEARCH("TPCAR",[1]OUT_TransportEnergyCons!$C$3:$C$1000))*1,[1]OUT_TransportEnergyCons!G$3:G$1000)</f>
        <v>8.4681905772772161</v>
      </c>
      <c r="J1214" s="1" cm="1">
        <f t="array" ref="J1214">SUMPRODUCT(("T_C-BAT-ELC-S2"=[1]OUT_TransportEnergyCons!$A$3:$A$1000)*1,("var_fout"=[1]OUT_TransportEnergyCons!$B$3:$B$1000)*1,ISNUMBER(SEARCH("TPCAR",[1]OUT_TransportEnergyCons!$C$3:$C$1000))*1,[1]OUT_TransportEnergyCons!H$3:H$1000)</f>
        <v>18.263319278409231</v>
      </c>
      <c r="K1214" s="1" cm="1">
        <f t="array" ref="K1214">SUMPRODUCT(("T_C-BAT-ELC-S2"=[1]OUT_TransportEnergyCons!$A$3:$A$1000)*1,("var_fout"=[1]OUT_TransportEnergyCons!$B$3:$B$1000)*1,ISNUMBER(SEARCH("TPCAR",[1]OUT_TransportEnergyCons!$C$3:$C$1000))*1,[1]OUT_TransportEnergyCons!I$3:I$1000)</f>
        <v>18.047812862194608</v>
      </c>
    </row>
    <row r="1215" spans="2:11" x14ac:dyDescent="0.35">
      <c r="B1215" s="5" t="str">
        <f t="shared" si="782"/>
        <v>SPS1</v>
      </c>
      <c r="C1215" s="5" t="str">
        <f t="shared" si="783"/>
        <v>CH</v>
      </c>
      <c r="D1215" t="s">
        <v>1137</v>
      </c>
      <c r="E1215" t="str">
        <f t="shared" si="813"/>
        <v>billion km/yr.</v>
      </c>
      <c r="F1215" s="1" cm="1">
        <f t="array" ref="F1215">SUMPRODUCT(("T_C-BAT-ELC-S3"=[1]OUT_TransportEnergyCons!$A$3:$A$1000)*1,("var_fout"=[1]OUT_TransportEnergyCons!$B$3:$B$1000)*1,ISNUMBER(SEARCH("TPCAR",[1]OUT_TransportEnergyCons!$C$3:$C$1000))*1,[1]OUT_TransportEnergyCons!D$3:D$1000)</f>
        <v>6.1569112084126826E-2</v>
      </c>
      <c r="G1215" s="1" cm="1">
        <f t="array" ref="G1215">SUMPRODUCT(("T_C-BAT-ELC-S3"=[1]OUT_TransportEnergyCons!$A$3:$A$1000)*1,("var_fout"=[1]OUT_TransportEnergyCons!$B$3:$B$1000)*1,ISNUMBER(SEARCH("TPCAR",[1]OUT_TransportEnergyCons!$C$3:$C$1000))*1,[1]OUT_TransportEnergyCons!E$3:E$1000)</f>
        <v>0.12732735808291257</v>
      </c>
      <c r="H1215" s="1" cm="1">
        <f t="array" ref="H1215">SUMPRODUCT(("T_C-BAT-ELC-S3"=[1]OUT_TransportEnergyCons!$A$3:$A$1000)*1,("var_fout"=[1]OUT_TransportEnergyCons!$B$3:$B$1000)*1,ISNUMBER(SEARCH("TPCAR",[1]OUT_TransportEnergyCons!$C$3:$C$1000))*1,[1]OUT_TransportEnergyCons!F$3:F$1000)</f>
        <v>0.14757776549035673</v>
      </c>
      <c r="I1215" s="1" cm="1">
        <f t="array" ref="I1215">SUMPRODUCT(("T_C-BAT-ELC-S3"=[1]OUT_TransportEnergyCons!$A$3:$A$1000)*1,("var_fout"=[1]OUT_TransportEnergyCons!$B$3:$B$1000)*1,ISNUMBER(SEARCH("TPCAR",[1]OUT_TransportEnergyCons!$C$3:$C$1000))*1,[1]OUT_TransportEnergyCons!G$3:G$1000)</f>
        <v>0.1241012654534413</v>
      </c>
      <c r="J1215" s="1" cm="1">
        <f t="array" ref="J1215">SUMPRODUCT(("T_C-BAT-ELC-S3"=[1]OUT_TransportEnergyCons!$A$3:$A$1000)*1,("var_fout"=[1]OUT_TransportEnergyCons!$B$3:$B$1000)*1,ISNUMBER(SEARCH("TPCAR",[1]OUT_TransportEnergyCons!$C$3:$C$1000))*1,[1]OUT_TransportEnergyCons!H$3:H$1000)</f>
        <v>6.722763669854011</v>
      </c>
      <c r="K1215" s="1" cm="1">
        <f t="array" ref="K1215">SUMPRODUCT(("T_C-BAT-ELC-S3"=[1]OUT_TransportEnergyCons!$A$3:$A$1000)*1,("var_fout"=[1]OUT_TransportEnergyCons!$B$3:$B$1000)*1,ISNUMBER(SEARCH("TPCAR",[1]OUT_TransportEnergyCons!$C$3:$C$1000))*1,[1]OUT_TransportEnergyCons!I$3:I$1000)</f>
        <v>14.512834696079032</v>
      </c>
    </row>
    <row r="1216" spans="2:11" x14ac:dyDescent="0.35">
      <c r="B1216" s="5" t="str">
        <f t="shared" ref="B1216:B1262" si="814">B1215</f>
        <v>SPS1</v>
      </c>
      <c r="C1216" s="5" t="str">
        <f t="shared" ref="C1216:C1262" si="815">C1215</f>
        <v>CH</v>
      </c>
      <c r="D1216" t="s">
        <v>1138</v>
      </c>
      <c r="E1216" t="str">
        <f t="shared" si="813"/>
        <v>billion km/yr.</v>
      </c>
      <c r="F1216" s="1" cm="1">
        <f t="array" ref="F1216">SUMPRODUCT(("T_C-BAT-ELC-S4"=[1]OUT_TransportEnergyCons!$A$3:$A$1000)*1,("var_fout"=[1]OUT_TransportEnergyCons!$B$3:$B$1000)*1,ISNUMBER(SEARCH("TPCAR",[1]OUT_TransportEnergyCons!$C$3:$C$1000))*1,[1]OUT_TransportEnergyCons!D$3:D$1000)</f>
        <v>0.19380841998540965</v>
      </c>
      <c r="G1216" s="1" cm="1">
        <f t="array" ref="G1216">SUMPRODUCT(("T_C-BAT-ELC-S4"=[1]OUT_TransportEnergyCons!$A$3:$A$1000)*1,("var_fout"=[1]OUT_TransportEnergyCons!$B$3:$B$1000)*1,ISNUMBER(SEARCH("TPCAR",[1]OUT_TransportEnergyCons!$C$3:$C$1000))*1,[1]OUT_TransportEnergyCons!E$3:E$1000)</f>
        <v>1.3653183336988468</v>
      </c>
      <c r="H1216" s="1" cm="1">
        <f t="array" ref="H1216">SUMPRODUCT(("T_C-BAT-ELC-S4"=[1]OUT_TransportEnergyCons!$A$3:$A$1000)*1,("var_fout"=[1]OUT_TransportEnergyCons!$B$3:$B$1000)*1,ISNUMBER(SEARCH("TPCAR",[1]OUT_TransportEnergyCons!$C$3:$C$1000))*1,[1]OUT_TransportEnergyCons!F$3:F$1000)</f>
        <v>3.4751599678467429</v>
      </c>
      <c r="I1216" s="1" cm="1">
        <f t="array" ref="I1216">SUMPRODUCT(("T_C-BAT-ELC-S4"=[1]OUT_TransportEnergyCons!$A$3:$A$1000)*1,("var_fout"=[1]OUT_TransportEnergyCons!$B$3:$B$1000)*1,ISNUMBER(SEARCH("TPCAR",[1]OUT_TransportEnergyCons!$C$3:$C$1000))*1,[1]OUT_TransportEnergyCons!G$3:G$1000)</f>
        <v>12.736592695711522</v>
      </c>
      <c r="J1216" s="1" cm="1">
        <f t="array" ref="J1216">SUMPRODUCT(("T_C-BAT-ELC-S4"=[1]OUT_TransportEnergyCons!$A$3:$A$1000)*1,("var_fout"=[1]OUT_TransportEnergyCons!$B$3:$B$1000)*1,ISNUMBER(SEARCH("TPCAR",[1]OUT_TransportEnergyCons!$C$3:$C$1000))*1,[1]OUT_TransportEnergyCons!H$3:H$1000)</f>
        <v>22.620730180462566</v>
      </c>
      <c r="K1216" s="1" cm="1">
        <f t="array" ref="K1216">SUMPRODUCT(("T_C-BAT-ELC-S4"=[1]OUT_TransportEnergyCons!$A$3:$A$1000)*1,("var_fout"=[1]OUT_TransportEnergyCons!$B$3:$B$1000)*1,ISNUMBER(SEARCH("TPCAR",[1]OUT_TransportEnergyCons!$C$3:$C$1000))*1,[1]OUT_TransportEnergyCons!I$3:I$1000)</f>
        <v>23.575576157058265</v>
      </c>
    </row>
    <row r="1217" spans="2:11" x14ac:dyDescent="0.35">
      <c r="B1217" s="5" t="str">
        <f t="shared" si="814"/>
        <v>SPS1</v>
      </c>
      <c r="C1217" s="5" t="str">
        <f t="shared" si="815"/>
        <v>CH</v>
      </c>
      <c r="D1217" t="s">
        <v>1139</v>
      </c>
      <c r="E1217" t="str">
        <f t="shared" si="813"/>
        <v>billion km/yr.</v>
      </c>
      <c r="F1217" s="1" cm="1">
        <f t="array" ref="F1217">SUMPRODUCT(("T_C-PEV-GSL-S1"=[1]OUT_TransportEnergyCons!$A$3:$A$1000)*1,("var_fout"=[1]OUT_TransportEnergyCons!$B$3:$B$1000)*1,ISNUMBER(SEARCH("TPCAR",[1]OUT_TransportEnergyCons!$C$3:$C$1000))*1,[1]OUT_TransportEnergyCons!D$3:D$1000)</f>
        <v>2.1281172572090945E-4</v>
      </c>
      <c r="G1217" s="1" cm="1">
        <f t="array" ref="G1217">SUMPRODUCT(("T_C-PEV-GSL-S1"=[1]OUT_TransportEnergyCons!$A$3:$A$1000)*1,("var_fout"=[1]OUT_TransportEnergyCons!$B$3:$B$1000)*1,ISNUMBER(SEARCH("TPCAR",[1]OUT_TransportEnergyCons!$C$3:$C$1000))*1,[1]OUT_TransportEnergyCons!E$3:E$1000)</f>
        <v>5.190094698573135E-4</v>
      </c>
      <c r="H1217" s="1" cm="1">
        <f t="array" ref="H1217">SUMPRODUCT(("T_C-PEV-GSL-S1"=[1]OUT_TransportEnergyCons!$A$3:$A$1000)*1,("var_fout"=[1]OUT_TransportEnergyCons!$B$3:$B$1000)*1,ISNUMBER(SEARCH("TPCAR",[1]OUT_TransportEnergyCons!$C$3:$C$1000))*1,[1]OUT_TransportEnergyCons!F$3:F$1000)</f>
        <v>6.2010877475612142E-4</v>
      </c>
      <c r="I1217" s="1" cm="1">
        <f t="array" ref="I1217">SUMPRODUCT(("T_C-PEV-GSL-S1"=[1]OUT_TransportEnergyCons!$A$3:$A$1000)*1,("var_fout"=[1]OUT_TransportEnergyCons!$B$3:$B$1000)*1,ISNUMBER(SEARCH("TPCAR",[1]OUT_TransportEnergyCons!$C$3:$C$1000))*1,[1]OUT_TransportEnergyCons!G$3:G$1000)</f>
        <v>7.4415502930268358E-4</v>
      </c>
      <c r="J1217" s="1" cm="1">
        <f t="array" ref="J1217">SUMPRODUCT(("T_C-PEV-GSL-S1"=[1]OUT_TransportEnergyCons!$A$3:$A$1000)*1,("var_fout"=[1]OUT_TransportEnergyCons!$B$3:$B$1000)*1,ISNUMBER(SEARCH("TPCAR",[1]OUT_TransportEnergyCons!$C$3:$C$1000))*1,[1]OUT_TransportEnergyCons!H$3:H$1000)</f>
        <v>4.0858913211604467E-4</v>
      </c>
      <c r="K1217" s="1" cm="1">
        <f t="array" ref="K1217">SUMPRODUCT(("T_C-PEV-GSL-S1"=[1]OUT_TransportEnergyCons!$A$3:$A$1000)*1,("var_fout"=[1]OUT_TransportEnergyCons!$B$3:$B$1000)*1,ISNUMBER(SEARCH("TPCAR",[1]OUT_TransportEnergyCons!$C$3:$C$1000))*1,[1]OUT_TransportEnergyCons!I$3:I$1000)</f>
        <v>8.4156394192299406E-5</v>
      </c>
    </row>
    <row r="1218" spans="2:11" x14ac:dyDescent="0.35">
      <c r="B1218" s="5" t="str">
        <f t="shared" si="814"/>
        <v>SPS1</v>
      </c>
      <c r="C1218" s="5" t="str">
        <f t="shared" si="815"/>
        <v>CH</v>
      </c>
      <c r="D1218" t="s">
        <v>1140</v>
      </c>
      <c r="E1218" t="str">
        <f t="shared" si="813"/>
        <v>billion km/yr.</v>
      </c>
      <c r="F1218" s="1" cm="1">
        <f t="array" ref="F1218">SUMPRODUCT(("T_C-PEV-GSL-S2"=[1]OUT_TransportEnergyCons!$A$3:$A$1000)*1,("var_fout"=[1]OUT_TransportEnergyCons!$B$3:$B$1000)*1,ISNUMBER(SEARCH("TPCAR",[1]OUT_TransportEnergyCons!$C$3:$C$1000))*1,[1]OUT_TransportEnergyCons!D$3:D$1000)</f>
        <v>4.9489739334477839E-2</v>
      </c>
      <c r="G1218" s="1" cm="1">
        <f t="array" ref="G1218">SUMPRODUCT(("T_C-PEV-GSL-S2"=[1]OUT_TransportEnergyCons!$A$3:$A$1000)*1,("var_fout"=[1]OUT_TransportEnergyCons!$B$3:$B$1000)*1,ISNUMBER(SEARCH("TPCAR",[1]OUT_TransportEnergyCons!$C$3:$C$1000))*1,[1]OUT_TransportEnergyCons!E$3:E$1000)</f>
        <v>9.8652059702889719E-2</v>
      </c>
      <c r="H1218" s="1" cm="1">
        <f t="array" ref="H1218">SUMPRODUCT(("T_C-PEV-GSL-S2"=[1]OUT_TransportEnergyCons!$A$3:$A$1000)*1,("var_fout"=[1]OUT_TransportEnergyCons!$B$3:$B$1000)*1,ISNUMBER(SEARCH("TPCAR",[1]OUT_TransportEnergyCons!$C$3:$C$1000))*1,[1]OUT_TransportEnergyCons!F$3:F$1000)</f>
        <v>7.0716290813746072E-2</v>
      </c>
      <c r="I1218" s="1" cm="1">
        <f t="array" ref="I1218">SUMPRODUCT(("T_C-PEV-GSL-S2"=[1]OUT_TransportEnergyCons!$A$3:$A$1000)*1,("var_fout"=[1]OUT_TransportEnergyCons!$B$3:$B$1000)*1,ISNUMBER(SEARCH("TPCAR",[1]OUT_TransportEnergyCons!$C$3:$C$1000))*1,[1]OUT_TransportEnergyCons!G$3:G$1000)</f>
        <v>7.9217433494703199E-2</v>
      </c>
      <c r="J1218" s="1" cm="1">
        <f t="array" ref="J1218">SUMPRODUCT(("T_C-PEV-GSL-S2"=[1]OUT_TransportEnergyCons!$A$3:$A$1000)*1,("var_fout"=[1]OUT_TransportEnergyCons!$B$3:$B$1000)*1,ISNUMBER(SEARCH("TPCAR",[1]OUT_TransportEnergyCons!$C$3:$C$1000))*1,[1]OUT_TransportEnergyCons!H$3:H$1000)</f>
        <v>1.3982719516259787E-3</v>
      </c>
      <c r="K1218" s="1" cm="1">
        <f t="array" ref="K1218">SUMPRODUCT(("T_C-PEV-GSL-S2"=[1]OUT_TransportEnergyCons!$A$3:$A$1000)*1,("var_fout"=[1]OUT_TransportEnergyCons!$B$3:$B$1000)*1,ISNUMBER(SEARCH("TPCAR",[1]OUT_TransportEnergyCons!$C$3:$C$1000))*1,[1]OUT_TransportEnergyCons!I$3:I$1000)</f>
        <v>2.3359034915036164E-4</v>
      </c>
    </row>
    <row r="1219" spans="2:11" x14ac:dyDescent="0.35">
      <c r="B1219" s="5" t="str">
        <f t="shared" si="814"/>
        <v>SPS1</v>
      </c>
      <c r="C1219" s="5" t="str">
        <f t="shared" si="815"/>
        <v>CH</v>
      </c>
      <c r="D1219" t="s">
        <v>1141</v>
      </c>
      <c r="E1219" t="str">
        <f t="shared" si="813"/>
        <v>billion km/yr.</v>
      </c>
      <c r="F1219" s="1" cm="1">
        <f t="array" ref="F1219">SUMPRODUCT(("T_C-PEV-GSL-S3"=[1]OUT_TransportEnergyCons!$A$3:$A$1000)*1,("var_fout"=[1]OUT_TransportEnergyCons!$B$3:$B$1000)*1,ISNUMBER(SEARCH("TPCAR",[1]OUT_TransportEnergyCons!$C$3:$C$1000))*1,[1]OUT_TransportEnergyCons!D$3:D$1000)</f>
        <v>4.7879211314256299E-2</v>
      </c>
      <c r="G1219" s="1" cm="1">
        <f t="array" ref="G1219">SUMPRODUCT(("T_C-PEV-GSL-S3"=[1]OUT_TransportEnergyCons!$A$3:$A$1000)*1,("var_fout"=[1]OUT_TransportEnergyCons!$B$3:$B$1000)*1,ISNUMBER(SEARCH("TPCAR",[1]OUT_TransportEnergyCons!$C$3:$C$1000))*1,[1]OUT_TransportEnergyCons!E$3:E$1000)</f>
        <v>0.67647122175003815</v>
      </c>
      <c r="H1219" s="1" cm="1">
        <f t="array" ref="H1219">SUMPRODUCT(("T_C-PEV-GSL-S3"=[1]OUT_TransportEnergyCons!$A$3:$A$1000)*1,("var_fout"=[1]OUT_TransportEnergyCons!$B$3:$B$1000)*1,ISNUMBER(SEARCH("TPCAR",[1]OUT_TransportEnergyCons!$C$3:$C$1000))*1,[1]OUT_TransportEnergyCons!F$3:F$1000)</f>
        <v>1.2044321703958363</v>
      </c>
      <c r="I1219" s="1" cm="1">
        <f t="array" ref="I1219">SUMPRODUCT(("T_C-PEV-GSL-S3"=[1]OUT_TransportEnergyCons!$A$3:$A$1000)*1,("var_fout"=[1]OUT_TransportEnergyCons!$B$3:$B$1000)*1,ISNUMBER(SEARCH("TPCAR",[1]OUT_TransportEnergyCons!$C$3:$C$1000))*1,[1]OUT_TransportEnergyCons!G$3:G$1000)</f>
        <v>5.2979705777054606</v>
      </c>
      <c r="J1219" s="1" cm="1">
        <f t="array" ref="J1219">SUMPRODUCT(("T_C-PEV-GSL-S3"=[1]OUT_TransportEnergyCons!$A$3:$A$1000)*1,("var_fout"=[1]OUT_TransportEnergyCons!$B$3:$B$1000)*1,ISNUMBER(SEARCH("TPCAR",[1]OUT_TransportEnergyCons!$C$3:$C$1000))*1,[1]OUT_TransportEnergyCons!H$3:H$1000)</f>
        <v>6.9809705683702523</v>
      </c>
      <c r="K1219" s="1" cm="1">
        <f t="array" ref="K1219">SUMPRODUCT(("T_C-PEV-GSL-S3"=[1]OUT_TransportEnergyCons!$A$3:$A$1000)*1,("var_fout"=[1]OUT_TransportEnergyCons!$B$3:$B$1000)*1,ISNUMBER(SEARCH("TPCAR",[1]OUT_TransportEnergyCons!$C$3:$C$1000))*1,[1]OUT_TransportEnergyCons!I$3:I$1000)</f>
        <v>1.5109799791424157</v>
      </c>
    </row>
    <row r="1220" spans="2:11" x14ac:dyDescent="0.35">
      <c r="B1220" s="5" t="str">
        <f t="shared" si="814"/>
        <v>SPS1</v>
      </c>
      <c r="C1220" s="5" t="str">
        <f t="shared" si="815"/>
        <v>CH</v>
      </c>
      <c r="D1220" t="s">
        <v>1142</v>
      </c>
      <c r="E1220" t="str">
        <f t="shared" si="813"/>
        <v>billion km/yr.</v>
      </c>
      <c r="F1220" s="1" cm="1">
        <f t="array" ref="F1220">SUMPRODUCT(("T_C-PEV-GSL-S4"=[1]OUT_TransportEnergyCons!$A$3:$A$1000)*1,("var_fout"=[1]OUT_TransportEnergyCons!$B$3:$B$1000)*1,ISNUMBER(SEARCH("TPCAR",[1]OUT_TransportEnergyCons!$C$3:$C$1000))*1,[1]OUT_TransportEnergyCons!D$3:D$1000)</f>
        <v>8.9927544520183408E-2</v>
      </c>
      <c r="G1220" s="1" cm="1">
        <f t="array" ref="G1220">SUMPRODUCT(("T_C-PEV-GSL-S4"=[1]OUT_TransportEnergyCons!$A$3:$A$1000)*1,("var_fout"=[1]OUT_TransportEnergyCons!$B$3:$B$1000)*1,ISNUMBER(SEARCH("TPCAR",[1]OUT_TransportEnergyCons!$C$3:$C$1000))*1,[1]OUT_TransportEnergyCons!E$3:E$1000)</f>
        <v>0.15937862786884952</v>
      </c>
      <c r="H1220" s="1" cm="1">
        <f t="array" ref="H1220">SUMPRODUCT(("T_C-PEV-GSL-S4"=[1]OUT_TransportEnergyCons!$A$3:$A$1000)*1,("var_fout"=[1]OUT_TransportEnergyCons!$B$3:$B$1000)*1,ISNUMBER(SEARCH("TPCAR",[1]OUT_TransportEnergyCons!$C$3:$C$1000))*1,[1]OUT_TransportEnergyCons!F$3:F$1000)</f>
        <v>0.15330524554412792</v>
      </c>
      <c r="I1220" s="1" cm="1">
        <f t="array" ref="I1220">SUMPRODUCT(("T_C-PEV-GSL-S4"=[1]OUT_TransportEnergyCons!$A$3:$A$1000)*1,("var_fout"=[1]OUT_TransportEnergyCons!$B$3:$B$1000)*1,ISNUMBER(SEARCH("TPCAR",[1]OUT_TransportEnergyCons!$C$3:$C$1000))*1,[1]OUT_TransportEnergyCons!G$3:G$1000)</f>
        <v>0.12829351877486886</v>
      </c>
      <c r="J1220" s="1" cm="1">
        <f t="array" ref="J1220">SUMPRODUCT(("T_C-PEV-GSL-S4"=[1]OUT_TransportEnergyCons!$A$3:$A$1000)*1,("var_fout"=[1]OUT_TransportEnergyCons!$B$3:$B$1000)*1,ISNUMBER(SEARCH("TPCAR",[1]OUT_TransportEnergyCons!$C$3:$C$1000))*1,[1]OUT_TransportEnergyCons!H$3:H$1000)</f>
        <v>3.7321703046010474E-3</v>
      </c>
      <c r="K1220" s="1" cm="1">
        <f t="array" ref="K1220">SUMPRODUCT(("T_C-PEV-GSL-S4"=[1]OUT_TransportEnergyCons!$A$3:$A$1000)*1,("var_fout"=[1]OUT_TransportEnergyCons!$B$3:$B$1000)*1,ISNUMBER(SEARCH("TPCAR",[1]OUT_TransportEnergyCons!$C$3:$C$1000))*1,[1]OUT_TransportEnergyCons!I$3:I$1000)</f>
        <v>3.6099743663255579E-4</v>
      </c>
    </row>
    <row r="1221" spans="2:11" x14ac:dyDescent="0.35">
      <c r="B1221" s="5" t="str">
        <f t="shared" si="814"/>
        <v>SPS1</v>
      </c>
      <c r="C1221" s="5" t="str">
        <f t="shared" si="815"/>
        <v>CH</v>
      </c>
      <c r="D1221" t="s">
        <v>1143</v>
      </c>
      <c r="E1221" t="str">
        <f t="shared" si="813"/>
        <v>billion km/yr.</v>
      </c>
      <c r="F1221" s="1" cm="1">
        <f t="array" ref="F1221">SUMPRODUCT(("T_C-PEV-DSL-S1"=[1]OUT_TransportEnergyCons!$A$3:$A$1000)*1,("var_fout"=[1]OUT_TransportEnergyCons!$B$3:$B$1000)*1,ISNUMBER(SEARCH("TPCAR",[1]OUT_TransportEnergyCons!$C$3:$C$1000))*1,[1]OUT_TransportEnergyCons!D$3:D$1000)</f>
        <v>1.2629890009575559E-5</v>
      </c>
      <c r="G1221" s="1" cm="1">
        <f t="array" ref="G1221">SUMPRODUCT(("T_C-PEV-DSL-S1"=[1]OUT_TransportEnergyCons!$A$3:$A$1000)*1,("var_fout"=[1]OUT_TransportEnergyCons!$B$3:$B$1000)*1,ISNUMBER(SEARCH("TPCAR",[1]OUT_TransportEnergyCons!$C$3:$C$1000))*1,[1]OUT_TransportEnergyCons!E$3:E$1000)</f>
        <v>3.0740199830406296E-4</v>
      </c>
      <c r="H1221" s="1" cm="1">
        <f t="array" ref="H1221">SUMPRODUCT(("T_C-PEV-DSL-S1"=[1]OUT_TransportEnergyCons!$A$3:$A$1000)*1,("var_fout"=[1]OUT_TransportEnergyCons!$B$3:$B$1000)*1,ISNUMBER(SEARCH("TPCAR",[1]OUT_TransportEnergyCons!$C$3:$C$1000))*1,[1]OUT_TransportEnergyCons!F$3:F$1000)</f>
        <v>4.6566928116686501E-4</v>
      </c>
      <c r="I1221" s="1" cm="1">
        <f t="array" ref="I1221">SUMPRODUCT(("T_C-PEV-DSL-S1"=[1]OUT_TransportEnergyCons!$A$3:$A$1000)*1,("var_fout"=[1]OUT_TransportEnergyCons!$B$3:$B$1000)*1,ISNUMBER(SEARCH("TPCAR",[1]OUT_TransportEnergyCons!$C$3:$C$1000))*1,[1]OUT_TransportEnergyCons!G$3:G$1000)</f>
        <v>6.4322433828405481E-4</v>
      </c>
      <c r="J1221" s="1" cm="1">
        <f t="array" ref="J1221">SUMPRODUCT(("T_C-PEV-DSL-S1"=[1]OUT_TransportEnergyCons!$A$3:$A$1000)*1,("var_fout"=[1]OUT_TransportEnergyCons!$B$3:$B$1000)*1,ISNUMBER(SEARCH("TPCAR",[1]OUT_TransportEnergyCons!$C$3:$C$1000))*1,[1]OUT_TransportEnergyCons!H$3:H$1000)</f>
        <v>4.139146740708538E-4</v>
      </c>
      <c r="K1221" s="1" cm="1">
        <f t="array" ref="K1221">SUMPRODUCT(("T_C-PEV-DSL-S1"=[1]OUT_TransportEnergyCons!$A$3:$A$1000)*1,("var_fout"=[1]OUT_TransportEnergyCons!$B$3:$B$1000)*1,ISNUMBER(SEARCH("TPCAR",[1]OUT_TransportEnergyCons!$C$3:$C$1000))*1,[1]OUT_TransportEnergyCons!I$3:I$1000)</f>
        <v>8.4503256733212801E-5</v>
      </c>
    </row>
    <row r="1222" spans="2:11" x14ac:dyDescent="0.35">
      <c r="B1222" s="5" t="str">
        <f t="shared" si="814"/>
        <v>SPS1</v>
      </c>
      <c r="C1222" s="5" t="str">
        <f t="shared" si="815"/>
        <v>CH</v>
      </c>
      <c r="D1222" t="s">
        <v>1144</v>
      </c>
      <c r="E1222" t="str">
        <f t="shared" si="813"/>
        <v>billion km/yr.</v>
      </c>
      <c r="F1222" s="1" cm="1">
        <f t="array" ref="F1222">SUMPRODUCT(("T_C-PEV-DSL-S2"=[1]OUT_TransportEnergyCons!$A$3:$A$1000)*1,("var_fout"=[1]OUT_TransportEnergyCons!$B$3:$B$1000)*1,ISNUMBER(SEARCH("TPCAR",[1]OUT_TransportEnergyCons!$C$3:$C$1000))*1,[1]OUT_TransportEnergyCons!D$3:D$1000)</f>
        <v>3.5302324688871608E-6</v>
      </c>
      <c r="G1222" s="1" cm="1">
        <f t="array" ref="G1222">SUMPRODUCT(("T_C-PEV-DSL-S2"=[1]OUT_TransportEnergyCons!$A$3:$A$1000)*1,("var_fout"=[1]OUT_TransportEnergyCons!$B$3:$B$1000)*1,ISNUMBER(SEARCH("TPCAR",[1]OUT_TransportEnergyCons!$C$3:$C$1000))*1,[1]OUT_TransportEnergyCons!E$3:E$1000)</f>
        <v>2.6620790425021482E-4</v>
      </c>
      <c r="H1222" s="1" cm="1">
        <f t="array" ref="H1222">SUMPRODUCT(("T_C-PEV-DSL-S2"=[1]OUT_TransportEnergyCons!$A$3:$A$1000)*1,("var_fout"=[1]OUT_TransportEnergyCons!$B$3:$B$1000)*1,ISNUMBER(SEARCH("TPCAR",[1]OUT_TransportEnergyCons!$C$3:$C$1000))*1,[1]OUT_TransportEnergyCons!F$3:F$1000)</f>
        <v>1.0473534689622284E-3</v>
      </c>
      <c r="I1222" s="1" cm="1">
        <f t="array" ref="I1222">SUMPRODUCT(("T_C-PEV-DSL-S2"=[1]OUT_TransportEnergyCons!$A$3:$A$1000)*1,("var_fout"=[1]OUT_TransportEnergyCons!$B$3:$B$1000)*1,ISNUMBER(SEARCH("TPCAR",[1]OUT_TransportEnergyCons!$C$3:$C$1000))*1,[1]OUT_TransportEnergyCons!G$3:G$1000)</f>
        <v>3.1236396815567517E-3</v>
      </c>
      <c r="J1222" s="1" cm="1">
        <f t="array" ref="J1222">SUMPRODUCT(("T_C-PEV-DSL-S2"=[1]OUT_TransportEnergyCons!$A$3:$A$1000)*1,("var_fout"=[1]OUT_TransportEnergyCons!$B$3:$B$1000)*1,ISNUMBER(SEARCH("TPCAR",[1]OUT_TransportEnergyCons!$C$3:$C$1000))*1,[1]OUT_TransportEnergyCons!H$3:H$1000)</f>
        <v>1.6170850252465758E-3</v>
      </c>
      <c r="K1222" s="1" cm="1">
        <f t="array" ref="K1222">SUMPRODUCT(("T_C-PEV-DSL-S2"=[1]OUT_TransportEnergyCons!$A$3:$A$1000)*1,("var_fout"=[1]OUT_TransportEnergyCons!$B$3:$B$1000)*1,ISNUMBER(SEARCH("TPCAR",[1]OUT_TransportEnergyCons!$C$3:$C$1000))*1,[1]OUT_TransportEnergyCons!I$3:I$1000)</f>
        <v>2.3995718662179523E-4</v>
      </c>
    </row>
    <row r="1223" spans="2:11" x14ac:dyDescent="0.35">
      <c r="B1223" s="5" t="str">
        <f t="shared" si="814"/>
        <v>SPS1</v>
      </c>
      <c r="C1223" s="5" t="str">
        <f t="shared" si="815"/>
        <v>CH</v>
      </c>
      <c r="D1223" t="s">
        <v>1145</v>
      </c>
      <c r="E1223" t="str">
        <f t="shared" si="813"/>
        <v>billion km/yr.</v>
      </c>
      <c r="F1223" s="1" cm="1">
        <f t="array" ref="F1223">SUMPRODUCT(("T_C-PEV-DSL-S3"=[1]OUT_TransportEnergyCons!$A$3:$A$1000)*1,("var_fout"=[1]OUT_TransportEnergyCons!$B$3:$B$1000)*1,ISNUMBER(SEARCH("TPCAR",[1]OUT_TransportEnergyCons!$C$3:$C$1000))*1,[1]OUT_TransportEnergyCons!D$3:D$1000)</f>
        <v>5.7953462838287626E-5</v>
      </c>
      <c r="G1223" s="1" cm="1">
        <f t="array" ref="G1223">SUMPRODUCT(("T_C-PEV-DSL-S3"=[1]OUT_TransportEnergyCons!$A$3:$A$1000)*1,("var_fout"=[1]OUT_TransportEnergyCons!$B$3:$B$1000)*1,ISNUMBER(SEARCH("TPCAR",[1]OUT_TransportEnergyCons!$C$3:$C$1000))*1,[1]OUT_TransportEnergyCons!E$3:E$1000)</f>
        <v>2.4128851556268318E-3</v>
      </c>
      <c r="H1223" s="1" cm="1">
        <f t="array" ref="H1223">SUMPRODUCT(("T_C-PEV-DSL-S3"=[1]OUT_TransportEnergyCons!$A$3:$A$1000)*1,("var_fout"=[1]OUT_TransportEnergyCons!$B$3:$B$1000)*1,ISNUMBER(SEARCH("TPCAR",[1]OUT_TransportEnergyCons!$C$3:$C$1000))*1,[1]OUT_TransportEnergyCons!F$3:F$1000)</f>
        <v>0.98583135819765999</v>
      </c>
      <c r="I1223" s="1" cm="1">
        <f t="array" ref="I1223">SUMPRODUCT(("T_C-PEV-DSL-S3"=[1]OUT_TransportEnergyCons!$A$3:$A$1000)*1,("var_fout"=[1]OUT_TransportEnergyCons!$B$3:$B$1000)*1,ISNUMBER(SEARCH("TPCAR",[1]OUT_TransportEnergyCons!$C$3:$C$1000))*1,[1]OUT_TransportEnergyCons!G$3:G$1000)</f>
        <v>3.8187362822937625</v>
      </c>
      <c r="J1223" s="1" cm="1">
        <f t="array" ref="J1223">SUMPRODUCT(("T_C-PEV-DSL-S3"=[1]OUT_TransportEnergyCons!$A$3:$A$1000)*1,("var_fout"=[1]OUT_TransportEnergyCons!$B$3:$B$1000)*1,ISNUMBER(SEARCH("TPCAR",[1]OUT_TransportEnergyCons!$C$3:$C$1000))*1,[1]OUT_TransportEnergyCons!H$3:H$1000)</f>
        <v>4.9955600635290169</v>
      </c>
      <c r="K1223" s="1" cm="1">
        <f t="array" ref="K1223">SUMPRODUCT(("T_C-PEV-DSL-S3"=[1]OUT_TransportEnergyCons!$A$3:$A$1000)*1,("var_fout"=[1]OUT_TransportEnergyCons!$B$3:$B$1000)*1,ISNUMBER(SEARCH("TPCAR",[1]OUT_TransportEnergyCons!$C$3:$C$1000))*1,[1]OUT_TransportEnergyCons!I$3:I$1000)</f>
        <v>1.054346936282321</v>
      </c>
    </row>
    <row r="1224" spans="2:11" x14ac:dyDescent="0.35">
      <c r="B1224" s="5" t="str">
        <f t="shared" si="814"/>
        <v>SPS1</v>
      </c>
      <c r="C1224" s="5" t="str">
        <f t="shared" si="815"/>
        <v>CH</v>
      </c>
      <c r="D1224" t="s">
        <v>1146</v>
      </c>
      <c r="E1224" t="str">
        <f t="shared" si="813"/>
        <v>billion km/yr.</v>
      </c>
      <c r="F1224" s="1" cm="1">
        <f t="array" ref="F1224">SUMPRODUCT(("T_C-PEV-DSL-S4"=[1]OUT_TransportEnergyCons!$A$3:$A$1000)*1,("var_fout"=[1]OUT_TransportEnergyCons!$B$3:$B$1000)*1,ISNUMBER(SEARCH("TPCAR",[1]OUT_TransportEnergyCons!$C$3:$C$1000))*1,[1]OUT_TransportEnergyCons!D$3:D$1000)</f>
        <v>3.050877601699161E-3</v>
      </c>
      <c r="G1224" s="1" cm="1">
        <f t="array" ref="G1224">SUMPRODUCT(("T_C-PEV-DSL-S4"=[1]OUT_TransportEnergyCons!$A$3:$A$1000)*1,("var_fout"=[1]OUT_TransportEnergyCons!$B$3:$B$1000)*1,ISNUMBER(SEARCH("TPCAR",[1]OUT_TransportEnergyCons!$C$3:$C$1000))*1,[1]OUT_TransportEnergyCons!E$3:E$1000)</f>
        <v>9.4962512530386706E-3</v>
      </c>
      <c r="H1224" s="1" cm="1">
        <f t="array" ref="H1224">SUMPRODUCT(("T_C-PEV-DSL-S4"=[1]OUT_TransportEnergyCons!$A$3:$A$1000)*1,("var_fout"=[1]OUT_TransportEnergyCons!$B$3:$B$1000)*1,ISNUMBER(SEARCH("TPCAR",[1]OUT_TransportEnergyCons!$C$3:$C$1000))*1,[1]OUT_TransportEnergyCons!F$3:F$1000)</f>
        <v>1.0054377622969683E-2</v>
      </c>
      <c r="I1224" s="1" cm="1">
        <f t="array" ref="I1224">SUMPRODUCT(("T_C-PEV-DSL-S4"=[1]OUT_TransportEnergyCons!$A$3:$A$1000)*1,("var_fout"=[1]OUT_TransportEnergyCons!$B$3:$B$1000)*1,ISNUMBER(SEARCH("TPCAR",[1]OUT_TransportEnergyCons!$C$3:$C$1000))*1,[1]OUT_TransportEnergyCons!G$3:G$1000)</f>
        <v>2.0469165967896791E-2</v>
      </c>
      <c r="J1224" s="1" cm="1">
        <f t="array" ref="J1224">SUMPRODUCT(("T_C-PEV-DSL-S4"=[1]OUT_TransportEnergyCons!$A$3:$A$1000)*1,("var_fout"=[1]OUT_TransportEnergyCons!$B$3:$B$1000)*1,ISNUMBER(SEARCH("TPCAR",[1]OUT_TransportEnergyCons!$C$3:$C$1000))*1,[1]OUT_TransportEnergyCons!H$3:H$1000)</f>
        <v>6.4046156809529067E-3</v>
      </c>
      <c r="K1224" s="1" cm="1">
        <f t="array" ref="K1224">SUMPRODUCT(("T_C-PEV-DSL-S4"=[1]OUT_TransportEnergyCons!$A$3:$A$1000)*1,("var_fout"=[1]OUT_TransportEnergyCons!$B$3:$B$1000)*1,ISNUMBER(SEARCH("TPCAR",[1]OUT_TransportEnergyCons!$C$3:$C$1000))*1,[1]OUT_TransportEnergyCons!I$3:I$1000)</f>
        <v>3.6412399512745738E-4</v>
      </c>
    </row>
    <row r="1225" spans="2:11" x14ac:dyDescent="0.35">
      <c r="B1225" s="5" t="str">
        <f t="shared" si="814"/>
        <v>SPS1</v>
      </c>
      <c r="C1225" s="5" t="str">
        <f t="shared" si="815"/>
        <v>CH</v>
      </c>
      <c r="D1225" t="s">
        <v>1147</v>
      </c>
      <c r="E1225" t="str">
        <f t="shared" si="813"/>
        <v>billion km/yr.</v>
      </c>
      <c r="F1225" s="1" cm="1">
        <f t="array" ref="F1225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5" s="1" cm="1">
        <f t="array" ref="G1225">SUMPRODUCT(("T_C-FC-H2O-S1"=[1]OUT_TransportEnergyCons!$A$3:$A$1000)*1,("var_fout"=[1]OUT_TransportEnergyCons!$B$3:$B$1000)*1,ISNUMBER(SEARCH("TPCAR",[1]OUT_TransportEnergyCons!$C$3:$C$1000))*1,[1]OUT_TransportEnergyCons!E$3:E$1000)</f>
        <v>1.048892997541683E-5</v>
      </c>
      <c r="H1225" s="1" cm="1">
        <f t="array" ref="H1225">SUMPRODUCT(("T_C-FC-H2O-S1"=[1]OUT_TransportEnergyCons!$A$3:$A$1000)*1,("var_fout"=[1]OUT_TransportEnergyCons!$B$3:$B$1000)*1,ISNUMBER(SEARCH("TPCAR",[1]OUT_TransportEnergyCons!$C$3:$C$1000))*1,[1]OUT_TransportEnergyCons!F$3:F$1000)</f>
        <v>1.6435510056731972E-5</v>
      </c>
      <c r="I1225" s="1" cm="1">
        <f t="array" ref="I1225">SUMPRODUCT(("T_C-FC-H2O-S1"=[1]OUT_TransportEnergyCons!$A$3:$A$1000)*1,("var_fout"=[1]OUT_TransportEnergyCons!$B$3:$B$1000)*1,ISNUMBER(SEARCH("TPCAR",[1]OUT_TransportEnergyCons!$C$3:$C$1000))*1,[1]OUT_TransportEnergyCons!G$3:G$1000)</f>
        <v>8.0286675103430831E-6</v>
      </c>
      <c r="J1225" s="1" cm="1">
        <f t="array" ref="J1225">SUMPRODUCT(("T_C-FC-H2O-S1"=[1]OUT_TransportEnergyCons!$A$3:$A$1000)*1,("var_fout"=[1]OUT_TransportEnergyCons!$B$3:$B$1000)*1,ISNUMBER(SEARCH("TPCAR",[1]OUT_TransportEnergyCons!$C$3:$C$1000))*1,[1]OUT_TransportEnergyCons!H$3:H$1000)</f>
        <v>1.3369861783985455E-5</v>
      </c>
      <c r="K1225" s="1" cm="1">
        <f t="array" ref="K1225">SUMPRODUCT(("T_C-FC-H2O-S1"=[1]OUT_TransportEnergyCons!$A$3:$A$1000)*1,("var_fout"=[1]OUT_TransportEnergyCons!$B$3:$B$1000)*1,ISNUMBER(SEARCH("TPCAR",[1]OUT_TransportEnergyCons!$C$3:$C$1000))*1,[1]OUT_TransportEnergyCons!I$3:I$1000)</f>
        <v>1.0879438542429085E-5</v>
      </c>
    </row>
    <row r="1226" spans="2:11" x14ac:dyDescent="0.35">
      <c r="B1226" s="5" t="str">
        <f t="shared" si="814"/>
        <v>SPS1</v>
      </c>
      <c r="C1226" s="5" t="str">
        <f t="shared" si="815"/>
        <v>CH</v>
      </c>
      <c r="D1226" t="s">
        <v>1148</v>
      </c>
      <c r="E1226" t="str">
        <f t="shared" si="813"/>
        <v>billion km/yr.</v>
      </c>
      <c r="F1226" s="1" cm="1">
        <f t="array" ref="F1226">SUMPRODUCT(("T_C-FC-H2O-S2"=[1]OUT_TransportEnergyCons!$A$3:$A$1000)*1,("var_fout"=[1]OUT_TransportEnergyCons!$B$3:$B$1000)*1,ISNUMBER(SEARCH("TPCAR",[1]OUT_TransportEnergyCons!$C$3:$C$1000))*1,[1]OUT_TransportEnergyCons!D$3:D$1000)</f>
        <v>7.2942499693076651E-5</v>
      </c>
      <c r="G1226" s="1" cm="1">
        <f t="array" ref="G1226">SUMPRODUCT(("T_C-FC-H2O-S2"=[1]OUT_TransportEnergyCons!$A$3:$A$1000)*1,("var_fout"=[1]OUT_TransportEnergyCons!$B$3:$B$1000)*1,ISNUMBER(SEARCH("TPCAR",[1]OUT_TransportEnergyCons!$C$3:$C$1000))*1,[1]OUT_TransportEnergyCons!E$3:E$1000)</f>
        <v>9.0081946705315128E-5</v>
      </c>
      <c r="H1226" s="1" cm="1">
        <f t="array" ref="H1226">SUMPRODUCT(("T_C-FC-H2O-S2"=[1]OUT_TransportEnergyCons!$A$3:$A$1000)*1,("var_fout"=[1]OUT_TransportEnergyCons!$B$3:$B$1000)*1,ISNUMBER(SEARCH("TPCAR",[1]OUT_TransportEnergyCons!$C$3:$C$1000))*1,[1]OUT_TransportEnergyCons!F$3:F$1000)</f>
        <v>9.407010691454155E-5</v>
      </c>
      <c r="I1226" s="1" cm="1">
        <f t="array" ref="I1226">SUMPRODUCT(("T_C-FC-H2O-S2"=[1]OUT_TransportEnergyCons!$A$3:$A$1000)*1,("var_fout"=[1]OUT_TransportEnergyCons!$B$3:$B$1000)*1,ISNUMBER(SEARCH("TPCAR",[1]OUT_TransportEnergyCons!$C$3:$C$1000))*1,[1]OUT_TransportEnergyCons!G$3:G$1000)</f>
        <v>2.2225115796421952E-5</v>
      </c>
      <c r="J1226" s="1" cm="1">
        <f t="array" ref="J1226">SUMPRODUCT(("T_C-FC-H2O-S2"=[1]OUT_TransportEnergyCons!$A$3:$A$1000)*1,("var_fout"=[1]OUT_TransportEnergyCons!$B$3:$B$1000)*1,ISNUMBER(SEARCH("TPCAR",[1]OUT_TransportEnergyCons!$C$3:$C$1000))*1,[1]OUT_TransportEnergyCons!H$3:H$1000)</f>
        <v>1.8266982485570589E-5</v>
      </c>
      <c r="K1226" s="1" cm="1">
        <f t="array" ref="K1226">SUMPRODUCT(("T_C-FC-H2O-S2"=[1]OUT_TransportEnergyCons!$A$3:$A$1000)*1,("var_fout"=[1]OUT_TransportEnergyCons!$B$3:$B$1000)*1,ISNUMBER(SEARCH("TPCAR",[1]OUT_TransportEnergyCons!$C$3:$C$1000))*1,[1]OUT_TransportEnergyCons!I$3:I$1000)</f>
        <v>1.780797644709961E-5</v>
      </c>
    </row>
    <row r="1227" spans="2:11" x14ac:dyDescent="0.35">
      <c r="B1227" s="5" t="str">
        <f t="shared" si="814"/>
        <v>SPS1</v>
      </c>
      <c r="C1227" s="5" t="str">
        <f t="shared" si="815"/>
        <v>CH</v>
      </c>
      <c r="D1227" t="s">
        <v>1149</v>
      </c>
      <c r="E1227" t="str">
        <f t="shared" si="813"/>
        <v>billion km/yr.</v>
      </c>
      <c r="F1227" s="1" cm="1">
        <f t="array" ref="F1227">SUMPRODUCT(("T_C-FC-H2O-S3"=[1]OUT_TransportEnergyCons!$A$3:$A$1000)*1,("var_fout"=[1]OUT_TransportEnergyCons!$B$3:$B$1000)*1,ISNUMBER(SEARCH("TPCAR",[1]OUT_TransportEnergyCons!$C$3:$C$1000))*1,[1]OUT_TransportEnergyCons!D$3:D$1000)</f>
        <v>6.3316083642709774E-4</v>
      </c>
      <c r="G1227" s="1" cm="1">
        <f t="array" ref="G1227">SUMPRODUCT(("T_C-FC-H2O-S3"=[1]OUT_TransportEnergyCons!$A$3:$A$1000)*1,("var_fout"=[1]OUT_TransportEnergyCons!$B$3:$B$1000)*1,ISNUMBER(SEARCH("TPCAR",[1]OUT_TransportEnergyCons!$C$3:$C$1000))*1,[1]OUT_TransportEnergyCons!E$3:E$1000)</f>
        <v>1.5528427056149625E-3</v>
      </c>
      <c r="H1227" s="1" cm="1">
        <f t="array" ref="H1227">SUMPRODUCT(("T_C-FC-H2O-S3"=[1]OUT_TransportEnergyCons!$A$3:$A$1000)*1,("var_fout"=[1]OUT_TransportEnergyCons!$B$3:$B$1000)*1,ISNUMBER(SEARCH("TPCAR",[1]OUT_TransportEnergyCons!$C$3:$C$1000))*1,[1]OUT_TransportEnergyCons!F$3:F$1000)</f>
        <v>1.4747108345467171E-3</v>
      </c>
      <c r="I1227" s="1" cm="1">
        <f t="array" ref="I1227">SUMPRODUCT(("T_C-FC-H2O-S3"=[1]OUT_TransportEnergyCons!$A$3:$A$1000)*1,("var_fout"=[1]OUT_TransportEnergyCons!$B$3:$B$1000)*1,ISNUMBER(SEARCH("TPCAR",[1]OUT_TransportEnergyCons!$C$3:$C$1000))*1,[1]OUT_TransportEnergyCons!G$3:G$1000)</f>
        <v>4.796169837021969E-5</v>
      </c>
      <c r="J1227" s="1" cm="1">
        <f t="array" ref="J1227">SUMPRODUCT(("T_C-FC-H2O-S3"=[1]OUT_TransportEnergyCons!$A$3:$A$1000)*1,("var_fout"=[1]OUT_TransportEnergyCons!$B$3:$B$1000)*1,ISNUMBER(SEARCH("TPCAR",[1]OUT_TransportEnergyCons!$C$3:$C$1000))*1,[1]OUT_TransportEnergyCons!H$3:H$1000)</f>
        <v>1.8473829074393242E-5</v>
      </c>
      <c r="K1227" s="1" cm="1">
        <f t="array" ref="K1227">SUMPRODUCT(("T_C-FC-H2O-S3"=[1]OUT_TransportEnergyCons!$A$3:$A$1000)*1,("var_fout"=[1]OUT_TransportEnergyCons!$B$3:$B$1000)*1,ISNUMBER(SEARCH("TPCAR",[1]OUT_TransportEnergyCons!$C$3:$C$1000))*1,[1]OUT_TransportEnergyCons!I$3:I$1000)</f>
        <v>2.1025533260952712E-5</v>
      </c>
    </row>
    <row r="1228" spans="2:11" x14ac:dyDescent="0.35">
      <c r="B1228" s="5" t="str">
        <f t="shared" si="814"/>
        <v>SPS1</v>
      </c>
      <c r="C1228" s="5" t="str">
        <f t="shared" si="815"/>
        <v>CH</v>
      </c>
      <c r="D1228" t="s">
        <v>1150</v>
      </c>
      <c r="E1228" t="str">
        <f t="shared" si="813"/>
        <v>billion km/yr.</v>
      </c>
      <c r="F1228" s="1" cm="1">
        <f t="array" ref="F1228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28" s="1" cm="1">
        <f t="array" ref="G1228">SUMPRODUCT(("T_C-FC-H2O-S4"=[1]OUT_TransportEnergyCons!$A$3:$A$1000)*1,("var_fout"=[1]OUT_TransportEnergyCons!$B$3:$B$1000)*1,ISNUMBER(SEARCH("TPCAR",[1]OUT_TransportEnergyCons!$C$3:$C$1000))*1,[1]OUT_TransportEnergyCons!E$3:E$1000)</f>
        <v>9.5838371419172219E-6</v>
      </c>
      <c r="H1228" s="1" cm="1">
        <f t="array" ref="H1228">SUMPRODUCT(("T_C-FC-H2O-S4"=[1]OUT_TransportEnergyCons!$A$3:$A$1000)*1,("var_fout"=[1]OUT_TransportEnergyCons!$B$3:$B$1000)*1,ISNUMBER(SEARCH("TPCAR",[1]OUT_TransportEnergyCons!$C$3:$C$1000))*1,[1]OUT_TransportEnergyCons!F$3:F$1000)</f>
        <v>1.660619924318833E-5</v>
      </c>
      <c r="I1228" s="1" cm="1">
        <f t="array" ref="I1228">SUMPRODUCT(("T_C-FC-H2O-S4"=[1]OUT_TransportEnergyCons!$A$3:$A$1000)*1,("var_fout"=[1]OUT_TransportEnergyCons!$B$3:$B$1000)*1,ISNUMBER(SEARCH("TPCAR",[1]OUT_TransportEnergyCons!$C$3:$C$1000))*1,[1]OUT_TransportEnergyCons!G$3:G$1000)</f>
        <v>1.5502162704883083E-5</v>
      </c>
      <c r="J1228" s="1" cm="1">
        <f t="array" ref="J1228">SUMPRODUCT(("T_C-FC-H2O-S4"=[1]OUT_TransportEnergyCons!$A$3:$A$1000)*1,("var_fout"=[1]OUT_TransportEnergyCons!$B$3:$B$1000)*1,ISNUMBER(SEARCH("TPCAR",[1]OUT_TransportEnergyCons!$C$3:$C$1000))*1,[1]OUT_TransportEnergyCons!H$3:H$1000)</f>
        <v>1.9019498484834887E-5</v>
      </c>
      <c r="K1228" s="1" cm="1">
        <f t="array" ref="K1228">SUMPRODUCT(("T_C-FC-H2O-S4"=[1]OUT_TransportEnergyCons!$A$3:$A$1000)*1,("var_fout"=[1]OUT_TransportEnergyCons!$B$3:$B$1000)*1,ISNUMBER(SEARCH("TPCAR",[1]OUT_TransportEnergyCons!$C$3:$C$1000))*1,[1]OUT_TransportEnergyCons!I$3:I$1000)</f>
        <v>2.2600970255330127E-5</v>
      </c>
    </row>
    <row r="1229" spans="2:11" x14ac:dyDescent="0.35">
      <c r="B1229" s="5" t="str">
        <f t="shared" si="814"/>
        <v>SPS1</v>
      </c>
      <c r="C1229" s="5" t="str">
        <f t="shared" si="815"/>
        <v>CH</v>
      </c>
      <c r="D1229" t="s">
        <v>1234</v>
      </c>
      <c r="E1229" t="str">
        <f t="shared" si="813"/>
        <v>billion km/yr.</v>
      </c>
      <c r="F1229" s="1" cm="1">
        <f t="array" ref="F1229">SUMPRODUCT(("T_C-HYBGSLEXT"=[1]OUT_TransportEnergyCons!$A$3:$A$1000)*1,("var_fout"=[1]OUT_TransportEnergyCons!$B$3:$B$1000)*1,ISNUMBER(SEARCH("TPCAR",[1]OUT_TransportEnergyCons!$C$3:$C$1000))*1,[1]OUT_TransportEnergyCons!D$3:D$1000)</f>
        <v>0.61925208415062449</v>
      </c>
      <c r="G1229" s="1" cm="1">
        <f t="array" ref="G1229">SUMPRODUCT(("T_C-HYBGSLEXT"=[1]OUT_TransportEnergyCons!$A$3:$A$1000)*1,("var_fout"=[1]OUT_TransportEnergyCons!$B$3:$B$1000)*1,ISNUMBER(SEARCH("TPCAR",[1]OUT_TransportEnergyCons!$C$3:$C$1000))*1,[1]OUT_TransportEnergyCons!E$3:E$1000)</f>
        <v>0.62769468321928223</v>
      </c>
      <c r="H1229" s="1" cm="1">
        <f t="array" ref="H1229">SUMPRODUCT(("T_C-HYBGSLEXT"=[1]OUT_TransportEnergyCons!$A$3:$A$1000)*1,("var_fout"=[1]OUT_TransportEnergyCons!$B$3:$B$1000)*1,ISNUMBER(SEARCH("TPCAR",[1]OUT_TransportEnergyCons!$C$3:$C$1000))*1,[1]OUT_TransportEnergyCons!F$3:F$1000)</f>
        <v>0.48284153653252082</v>
      </c>
      <c r="I1229" s="1" cm="1">
        <f t="array" ref="I1229">SUMPRODUCT(("T_C-HYBGSLEXT"=[1]OUT_TransportEnergyCons!$A$3:$A$1000)*1,("var_fout"=[1]OUT_TransportEnergyCons!$B$3:$B$1000)*1,ISNUMBER(SEARCH("TPCAR",[1]OUT_TransportEnergyCons!$C$3:$C$1000))*1,[1]OUT_TransportEnergyCons!G$3:G$1000)</f>
        <v>0.24142147609074874</v>
      </c>
      <c r="J1229" s="1" cm="1">
        <f t="array" ref="J1229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29" s="1" cm="1">
        <f t="array" ref="K1229">SUMPRODUCT(("T_C-HYBGSLEXT"=[1]OUT_TransportEnergyCons!$A$3:$A$1000)*1,("var_fout"=[1]OUT_TransportEnergyCons!$B$3:$B$1000)*1,ISNUMBER(SEARCH("TPCAR",[1]OUT_TransportEnergyCons!$C$3:$C$1000))*1,[1]OUT_TransportEnergyCons!I$3:I$1000)</f>
        <v>0</v>
      </c>
    </row>
    <row r="1230" spans="2:11" x14ac:dyDescent="0.35">
      <c r="B1230" s="5" t="str">
        <f t="shared" si="814"/>
        <v>SPS1</v>
      </c>
      <c r="C1230" s="5" t="str">
        <f t="shared" si="815"/>
        <v>CH</v>
      </c>
      <c r="D1230" t="s">
        <v>1151</v>
      </c>
      <c r="E1230" t="str">
        <f t="shared" si="813"/>
        <v>billion km/yr.</v>
      </c>
      <c r="F1230" s="1" cm="1">
        <f t="array" ref="F1230">SUMPRODUCT(("T_C-HY-GSL-S1"=[1]OUT_TransportEnergyCons!$A$3:$A$1000)*1,("var_fout"=[1]OUT_TransportEnergyCons!$B$3:$B$1000)*1,ISNUMBER(SEARCH("TPCAR",[1]OUT_TransportEnergyCons!$C$3:$C$1000))*1,[1]OUT_TransportEnergyCons!D$3:D$1000)</f>
        <v>5.2248443719727998E-2</v>
      </c>
      <c r="G1230" s="1" cm="1">
        <f t="array" ref="G1230">SUMPRODUCT(("T_C-HY-GSL-S1"=[1]OUT_TransportEnergyCons!$A$3:$A$1000)*1,("var_fout"=[1]OUT_TransportEnergyCons!$B$3:$B$1000)*1,ISNUMBER(SEARCH("TPCAR",[1]OUT_TransportEnergyCons!$C$3:$C$1000))*1,[1]OUT_TransportEnergyCons!E$3:E$1000)</f>
        <v>6.2530309827707964E-2</v>
      </c>
      <c r="H1230" s="1" cm="1">
        <f t="array" ref="H1230">SUMPRODUCT(("T_C-HY-GSL-S1"=[1]OUT_TransportEnergyCons!$A$3:$A$1000)*1,("var_fout"=[1]OUT_TransportEnergyCons!$B$3:$B$1000)*1,ISNUMBER(SEARCH("TPCAR",[1]OUT_TransportEnergyCons!$C$3:$C$1000))*1,[1]OUT_TransportEnergyCons!F$3:F$1000)</f>
        <v>4.4663951139371542E-2</v>
      </c>
      <c r="I1230" s="1" cm="1">
        <f t="array" ref="I1230">SUMPRODUCT(("T_C-HY-GSL-S1"=[1]OUT_TransportEnergyCons!$A$3:$A$1000)*1,("var_fout"=[1]OUT_TransportEnergyCons!$B$3:$B$1000)*1,ISNUMBER(SEARCH("TPCAR",[1]OUT_TransportEnergyCons!$C$3:$C$1000))*1,[1]OUT_TransportEnergyCons!G$3:G$1000)</f>
        <v>3.5868984793126085E-2</v>
      </c>
      <c r="J1230" s="1" cm="1">
        <f t="array" ref="J1230">SUMPRODUCT(("T_C-HY-GSL-S1"=[1]OUT_TransportEnergyCons!$A$3:$A$1000)*1,("var_fout"=[1]OUT_TransportEnergyCons!$B$3:$B$1000)*1,ISNUMBER(SEARCH("TPCAR",[1]OUT_TransportEnergyCons!$C$3:$C$1000))*1,[1]OUT_TransportEnergyCons!H$3:H$1000)</f>
        <v>2.2107399784978131E-4</v>
      </c>
      <c r="K1230" s="1" cm="1">
        <f t="array" ref="K1230">SUMPRODUCT(("T_C-HY-GSL-S1"=[1]OUT_TransportEnergyCons!$A$3:$A$1000)*1,("var_fout"=[1]OUT_TransportEnergyCons!$B$3:$B$1000)*1,ISNUMBER(SEARCH("TPCAR",[1]OUT_TransportEnergyCons!$C$3:$C$1000))*1,[1]OUT_TransportEnergyCons!I$3:I$1000)</f>
        <v>0</v>
      </c>
    </row>
    <row r="1231" spans="2:11" x14ac:dyDescent="0.35">
      <c r="B1231" s="5" t="str">
        <f t="shared" si="814"/>
        <v>SPS1</v>
      </c>
      <c r="C1231" s="5" t="str">
        <f t="shared" si="815"/>
        <v>CH</v>
      </c>
      <c r="D1231" t="s">
        <v>1152</v>
      </c>
      <c r="E1231" t="str">
        <f t="shared" si="813"/>
        <v>billion km/yr.</v>
      </c>
      <c r="F1231" s="1" cm="1">
        <f t="array" ref="F1231">SUMPRODUCT(("T_C-HY-GSL-S2"=[1]OUT_TransportEnergyCons!$A$3:$A$1000)*1,("var_fout"=[1]OUT_TransportEnergyCons!$B$3:$B$1000)*1,ISNUMBER(SEARCH("TPCAR",[1]OUT_TransportEnergyCons!$C$3:$C$1000))*1,[1]OUT_TransportEnergyCons!D$3:D$1000)</f>
        <v>0.22105588529529491</v>
      </c>
      <c r="G1231" s="1" cm="1">
        <f t="array" ref="G1231">SUMPRODUCT(("T_C-HY-GSL-S2"=[1]OUT_TransportEnergyCons!$A$3:$A$1000)*1,("var_fout"=[1]OUT_TransportEnergyCons!$B$3:$B$1000)*1,ISNUMBER(SEARCH("TPCAR",[1]OUT_TransportEnergyCons!$C$3:$C$1000))*1,[1]OUT_TransportEnergyCons!E$3:E$1000)</f>
        <v>0.91456281444375442</v>
      </c>
      <c r="H1231" s="1" cm="1">
        <f t="array" ref="H1231">SUMPRODUCT(("T_C-HY-GSL-S2"=[1]OUT_TransportEnergyCons!$A$3:$A$1000)*1,("var_fout"=[1]OUT_TransportEnergyCons!$B$3:$B$1000)*1,ISNUMBER(SEARCH("TPCAR",[1]OUT_TransportEnergyCons!$C$3:$C$1000))*1,[1]OUT_TransportEnergyCons!F$3:F$1000)</f>
        <v>1.4073096904024012</v>
      </c>
      <c r="I1231" s="1" cm="1">
        <f t="array" ref="I1231">SUMPRODUCT(("T_C-HY-GSL-S2"=[1]OUT_TransportEnergyCons!$A$3:$A$1000)*1,("var_fout"=[1]OUT_TransportEnergyCons!$B$3:$B$1000)*1,ISNUMBER(SEARCH("TPCAR",[1]OUT_TransportEnergyCons!$C$3:$C$1000))*1,[1]OUT_TransportEnergyCons!G$3:G$1000)</f>
        <v>1.1774924827869333</v>
      </c>
      <c r="J1231" s="1" cm="1">
        <f t="array" ref="J1231">SUMPRODUCT(("T_C-HY-GSL-S2"=[1]OUT_TransportEnergyCons!$A$3:$A$1000)*1,("var_fout"=[1]OUT_TransportEnergyCons!$B$3:$B$1000)*1,ISNUMBER(SEARCH("TPCAR",[1]OUT_TransportEnergyCons!$C$3:$C$1000))*1,[1]OUT_TransportEnergyCons!H$3:H$1000)</f>
        <v>3.402351686795807E-2</v>
      </c>
      <c r="K1231" s="1" cm="1">
        <f t="array" ref="K1231">SUMPRODUCT(("T_C-HY-GSL-S2"=[1]OUT_TransportEnergyCons!$A$3:$A$1000)*1,("var_fout"=[1]OUT_TransportEnergyCons!$B$3:$B$1000)*1,ISNUMBER(SEARCH("TPCAR",[1]OUT_TransportEnergyCons!$C$3:$C$1000))*1,[1]OUT_TransportEnergyCons!I$3:I$1000)</f>
        <v>0</v>
      </c>
    </row>
    <row r="1232" spans="2:11" x14ac:dyDescent="0.35">
      <c r="B1232" s="5" t="str">
        <f t="shared" si="814"/>
        <v>SPS1</v>
      </c>
      <c r="C1232" s="5" t="str">
        <f t="shared" si="815"/>
        <v>CH</v>
      </c>
      <c r="D1232" t="s">
        <v>1153</v>
      </c>
      <c r="E1232" t="str">
        <f t="shared" si="813"/>
        <v>billion km/yr.</v>
      </c>
      <c r="F1232" s="1" cm="1">
        <f t="array" ref="F1232">SUMPRODUCT(("T_C-HY-GSL-S3"=[1]OUT_TransportEnergyCons!$A$3:$A$1000)*1,("var_fout"=[1]OUT_TransportEnergyCons!$B$3:$B$1000)*1,ISNUMBER(SEARCH("TPCAR",[1]OUT_TransportEnergyCons!$C$3:$C$1000))*1,[1]OUT_TransportEnergyCons!D$3:D$1000)</f>
        <v>0.20235005490666391</v>
      </c>
      <c r="G1232" s="1" cm="1">
        <f t="array" ref="G1232">SUMPRODUCT(("T_C-HY-GSL-S3"=[1]OUT_TransportEnergyCons!$A$3:$A$1000)*1,("var_fout"=[1]OUT_TransportEnergyCons!$B$3:$B$1000)*1,ISNUMBER(SEARCH("TPCAR",[1]OUT_TransportEnergyCons!$C$3:$C$1000))*1,[1]OUT_TransportEnergyCons!E$3:E$1000)</f>
        <v>3.0275434010803179</v>
      </c>
      <c r="H1232" s="1" cm="1">
        <f t="array" ref="H1232">SUMPRODUCT(("T_C-HY-GSL-S3"=[1]OUT_TransportEnergyCons!$A$3:$A$1000)*1,("var_fout"=[1]OUT_TransportEnergyCons!$B$3:$B$1000)*1,ISNUMBER(SEARCH("TPCAR",[1]OUT_TransportEnergyCons!$C$3:$C$1000))*1,[1]OUT_TransportEnergyCons!F$3:F$1000)</f>
        <v>2.8602566109621326</v>
      </c>
      <c r="I1232" s="1" cm="1">
        <f t="array" ref="I1232">SUMPRODUCT(("T_C-HY-GSL-S3"=[1]OUT_TransportEnergyCons!$A$3:$A$1000)*1,("var_fout"=[1]OUT_TransportEnergyCons!$B$3:$B$1000)*1,ISNUMBER(SEARCH("TPCAR",[1]OUT_TransportEnergyCons!$C$3:$C$1000))*1,[1]OUT_TransportEnergyCons!G$3:G$1000)</f>
        <v>2.3027190206661841</v>
      </c>
      <c r="J1232" s="1" cm="1">
        <f t="array" ref="J1232">SUMPRODUCT(("T_C-HY-GSL-S3"=[1]OUT_TransportEnergyCons!$A$3:$A$1000)*1,("var_fout"=[1]OUT_TransportEnergyCons!$B$3:$B$1000)*1,ISNUMBER(SEARCH("TPCAR",[1]OUT_TransportEnergyCons!$C$3:$C$1000))*1,[1]OUT_TransportEnergyCons!H$3:H$1000)</f>
        <v>5.7935856334996464E-5</v>
      </c>
      <c r="K1232" s="1" cm="1">
        <f t="array" ref="K1232">SUMPRODUCT(("T_C-HY-GSL-S3"=[1]OUT_TransportEnergyCons!$A$3:$A$1000)*1,("var_fout"=[1]OUT_TransportEnergyCons!$B$3:$B$1000)*1,ISNUMBER(SEARCH("TPCAR",[1]OUT_TransportEnergyCons!$C$3:$C$1000))*1,[1]OUT_TransportEnergyCons!I$3:I$1000)</f>
        <v>0</v>
      </c>
    </row>
    <row r="1233" spans="2:11" x14ac:dyDescent="0.35">
      <c r="B1233" s="5" t="str">
        <f t="shared" si="814"/>
        <v>SPS1</v>
      </c>
      <c r="C1233" s="5" t="str">
        <f t="shared" si="815"/>
        <v>CH</v>
      </c>
      <c r="D1233" t="s">
        <v>1154</v>
      </c>
      <c r="E1233" t="str">
        <f t="shared" si="813"/>
        <v>billion km/yr.</v>
      </c>
      <c r="F1233" s="1" cm="1">
        <f t="array" ref="F1233">SUMPRODUCT(("T_C-HY-GSL-S4"=[1]OUT_TransportEnergyCons!$A$3:$A$1000)*1,("var_fout"=[1]OUT_TransportEnergyCons!$B$3:$B$1000)*1,ISNUMBER(SEARCH("TPCAR",[1]OUT_TransportEnergyCons!$C$3:$C$1000))*1,[1]OUT_TransportEnergyCons!D$3:D$1000)</f>
        <v>0.10410657314390838</v>
      </c>
      <c r="G1233" s="1" cm="1">
        <f t="array" ref="G1233">SUMPRODUCT(("T_C-HY-GSL-S4"=[1]OUT_TransportEnergyCons!$A$3:$A$1000)*1,("var_fout"=[1]OUT_TransportEnergyCons!$B$3:$B$1000)*1,ISNUMBER(SEARCH("TPCAR",[1]OUT_TransportEnergyCons!$C$3:$C$1000))*1,[1]OUT_TransportEnergyCons!E$3:E$1000)</f>
        <v>0.1794219085157169</v>
      </c>
      <c r="H1233" s="1" cm="1">
        <f t="array" ref="H1233">SUMPRODUCT(("T_C-HY-GSL-S4"=[1]OUT_TransportEnergyCons!$A$3:$A$1000)*1,("var_fout"=[1]OUT_TransportEnergyCons!$B$3:$B$1000)*1,ISNUMBER(SEARCH("TPCAR",[1]OUT_TransportEnergyCons!$C$3:$C$1000))*1,[1]OUT_TransportEnergyCons!F$3:F$1000)</f>
        <v>0.17092755765254022</v>
      </c>
      <c r="I1233" s="1" cm="1">
        <f t="array" ref="I1233">SUMPRODUCT(("T_C-HY-GSL-S4"=[1]OUT_TransportEnergyCons!$A$3:$A$1000)*1,("var_fout"=[1]OUT_TransportEnergyCons!$B$3:$B$1000)*1,ISNUMBER(SEARCH("TPCAR",[1]OUT_TransportEnergyCons!$C$3:$C$1000))*1,[1]OUT_TransportEnergyCons!G$3:G$1000)</f>
        <v>0.14406277446710694</v>
      </c>
      <c r="J1233" s="1" cm="1">
        <f t="array" ref="J1233">SUMPRODUCT(("T_C-HY-GSL-S4"=[1]OUT_TransportEnergyCons!$A$3:$A$1000)*1,("var_fout"=[1]OUT_TransportEnergyCons!$B$3:$B$1000)*1,ISNUMBER(SEARCH("TPCAR",[1]OUT_TransportEnergyCons!$C$3:$C$1000))*1,[1]OUT_TransportEnergyCons!H$3:H$1000)</f>
        <v>5.8625514847310762E-5</v>
      </c>
      <c r="K1233" s="1" cm="1">
        <f t="array" ref="K1233">SUMPRODUCT(("T_C-HY-GSL-S4"=[1]OUT_TransportEnergyCons!$A$3:$A$1000)*1,("var_fout"=[1]OUT_TransportEnergyCons!$B$3:$B$1000)*1,ISNUMBER(SEARCH("TPCAR",[1]OUT_TransportEnergyCons!$C$3:$C$1000))*1,[1]OUT_TransportEnergyCons!I$3:I$1000)</f>
        <v>0</v>
      </c>
    </row>
    <row r="1234" spans="2:11" x14ac:dyDescent="0.35">
      <c r="B1234" s="5" t="str">
        <f t="shared" si="814"/>
        <v>SPS1</v>
      </c>
      <c r="C1234" s="5" t="str">
        <f t="shared" si="815"/>
        <v>CH</v>
      </c>
      <c r="D1234" t="s">
        <v>1155</v>
      </c>
      <c r="E1234" t="str">
        <f t="shared" si="813"/>
        <v>billion km/yr.</v>
      </c>
      <c r="F1234" s="1" cm="1">
        <f t="array" ref="F1234">SUMPRODUCT(("T_C-ICEGSLEXT"=[1]OUT_TransportEnergyCons!$A$3:$A$1000)*1,("var_fout"=[1]OUT_TransportEnergyCons!$B$3:$B$1000)*1,ISNUMBER(SEARCH("TPCAR",[1]OUT_TransportEnergyCons!$C$3:$C$1000))*1,[1]OUT_TransportEnergyCons!D$3:D$1000)</f>
        <v>18.302989135468195</v>
      </c>
      <c r="G1234" s="1" cm="1">
        <f t="array" ref="G1234">SUMPRODUCT(("T_C-ICEGSLEXT"=[1]OUT_TransportEnergyCons!$A$3:$A$1000)*1,("var_fout"=[1]OUT_TransportEnergyCons!$B$3:$B$1000)*1,ISNUMBER(SEARCH("TPCAR",[1]OUT_TransportEnergyCons!$C$3:$C$1000))*1,[1]OUT_TransportEnergyCons!E$3:E$1000)</f>
        <v>15.314096449726215</v>
      </c>
      <c r="H1234" s="1" cm="1">
        <f t="array" ref="H1234">SUMPRODUCT(("T_C-ICEGSLEXT"=[1]OUT_TransportEnergyCons!$A$3:$A$1000)*1,("var_fout"=[1]OUT_TransportEnergyCons!$B$3:$B$1000)*1,ISNUMBER(SEARCH("TPCAR",[1]OUT_TransportEnergyCons!$C$3:$C$1000))*1,[1]OUT_TransportEnergyCons!F$3:F$1000)</f>
        <v>12.955836129928823</v>
      </c>
      <c r="I1234" s="1" cm="1">
        <f t="array" ref="I1234">SUMPRODUCT(("T_C-ICEGSLEXT"=[1]OUT_TransportEnergyCons!$A$3:$A$1000)*1,("var_fout"=[1]OUT_TransportEnergyCons!$B$3:$B$1000)*1,ISNUMBER(SEARCH("TPCAR",[1]OUT_TransportEnergyCons!$C$3:$C$1000))*1,[1]OUT_TransportEnergyCons!G$3:G$1000)</f>
        <v>4.0698606756940663</v>
      </c>
      <c r="J1234" s="1" cm="1">
        <f t="array" ref="J1234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4" s="1" cm="1">
        <f t="array" ref="K1234">SUMPRODUCT(("T_C-ICEGSLEXT"=[1]OUT_TransportEnergyCons!$A$3:$A$1000)*1,("var_fout"=[1]OUT_TransportEnergyCons!$B$3:$B$1000)*1,ISNUMBER(SEARCH("TPCAR",[1]OUT_TransportEnergyCons!$C$3:$C$1000))*1,[1]OUT_TransportEnergyCons!I$3:I$1000)</f>
        <v>0</v>
      </c>
    </row>
    <row r="1235" spans="2:11" x14ac:dyDescent="0.35">
      <c r="B1235" s="5" t="str">
        <f t="shared" si="814"/>
        <v>SPS1</v>
      </c>
      <c r="C1235" s="5" t="str">
        <f t="shared" si="815"/>
        <v>CH</v>
      </c>
      <c r="D1235" t="s">
        <v>1156</v>
      </c>
      <c r="E1235" t="str">
        <f t="shared" si="813"/>
        <v>billion km/yr.</v>
      </c>
      <c r="F1235" s="1" cm="1">
        <f t="array" ref="F1235">SUMPRODUCT(("T_C-ICE-GSL-S1"=[1]OUT_TransportEnergyCons!$A$3:$A$1000)*1,("var_fout"=[1]OUT_TransportEnergyCons!$B$3:$B$1000)*1,ISNUMBER(SEARCH("TPCAR",[1]OUT_TransportEnergyCons!$C$3:$C$1000))*1,[1]OUT_TransportEnergyCons!D$3:D$1000)</f>
        <v>0.33882427247173524</v>
      </c>
      <c r="G1235" s="1" cm="1">
        <f t="array" ref="G1235">SUMPRODUCT(("T_C-ICE-GSL-S1"=[1]OUT_TransportEnergyCons!$A$3:$A$1000)*1,("var_fout"=[1]OUT_TransportEnergyCons!$B$3:$B$1000)*1,ISNUMBER(SEARCH("TPCAR",[1]OUT_TransportEnergyCons!$C$3:$C$1000))*1,[1]OUT_TransportEnergyCons!E$3:E$1000)</f>
        <v>0.3723770301271157</v>
      </c>
      <c r="H1235" s="1" cm="1">
        <f t="array" ref="H1235">SUMPRODUCT(("T_C-ICE-GSL-S1"=[1]OUT_TransportEnergyCons!$A$3:$A$1000)*1,("var_fout"=[1]OUT_TransportEnergyCons!$B$3:$B$1000)*1,ISNUMBER(SEARCH("TPCAR",[1]OUT_TransportEnergyCons!$C$3:$C$1000))*1,[1]OUT_TransportEnergyCons!F$3:F$1000)</f>
        <v>0.83444990361162974</v>
      </c>
      <c r="I1235" s="1" cm="1">
        <f t="array" ref="I1235">SUMPRODUCT(("T_C-ICE-GSL-S1"=[1]OUT_TransportEnergyCons!$A$3:$A$1000)*1,("var_fout"=[1]OUT_TransportEnergyCons!$B$3:$B$1000)*1,ISNUMBER(SEARCH("TPCAR",[1]OUT_TransportEnergyCons!$C$3:$C$1000))*1,[1]OUT_TransportEnergyCons!G$3:G$1000)</f>
        <v>0.70469793494550426</v>
      </c>
      <c r="J1235" s="1" cm="1">
        <f t="array" ref="J1235">SUMPRODUCT(("T_C-ICE-GSL-S1"=[1]OUT_TransportEnergyCons!$A$3:$A$1000)*1,("var_fout"=[1]OUT_TransportEnergyCons!$B$3:$B$1000)*1,ISNUMBER(SEARCH("TPCAR",[1]OUT_TransportEnergyCons!$C$3:$C$1000))*1,[1]OUT_TransportEnergyCons!H$3:H$1000)</f>
        <v>4.8897748996695009E-2</v>
      </c>
      <c r="K1235" s="1" cm="1">
        <f t="array" ref="K1235">SUMPRODUCT(("T_C-ICE-GSL-S1"=[1]OUT_TransportEnergyCons!$A$3:$A$1000)*1,("var_fout"=[1]OUT_TransportEnergyCons!$B$3:$B$1000)*1,ISNUMBER(SEARCH("TPCAR",[1]OUT_TransportEnergyCons!$C$3:$C$1000))*1,[1]OUT_TransportEnergyCons!I$3:I$1000)</f>
        <v>0</v>
      </c>
    </row>
    <row r="1236" spans="2:11" x14ac:dyDescent="0.35">
      <c r="B1236" s="5" t="str">
        <f t="shared" si="814"/>
        <v>SPS1</v>
      </c>
      <c r="C1236" s="5" t="str">
        <f t="shared" si="815"/>
        <v>CH</v>
      </c>
      <c r="D1236" t="s">
        <v>1157</v>
      </c>
      <c r="E1236" t="str">
        <f t="shared" si="813"/>
        <v>billion km/yr.</v>
      </c>
      <c r="F1236" s="1" cm="1">
        <f t="array" ref="F1236">SUMPRODUCT(("T_C-ICE-GSL-S2"=[1]OUT_TransportEnergyCons!$A$3:$A$1000)*1,("var_fout"=[1]OUT_TransportEnergyCons!$B$3:$B$1000)*1,ISNUMBER(SEARCH("TPCAR",[1]OUT_TransportEnergyCons!$C$3:$C$1000))*1,[1]OUT_TransportEnergyCons!D$3:D$1000)</f>
        <v>2.2822248412001866</v>
      </c>
      <c r="G1236" s="1" cm="1">
        <f t="array" ref="G1236">SUMPRODUCT(("T_C-ICE-GSL-S2"=[1]OUT_TransportEnergyCons!$A$3:$A$1000)*1,("var_fout"=[1]OUT_TransportEnergyCons!$B$3:$B$1000)*1,ISNUMBER(SEARCH("TPCAR",[1]OUT_TransportEnergyCons!$C$3:$C$1000))*1,[1]OUT_TransportEnergyCons!E$3:E$1000)</f>
        <v>3.2078609284180755</v>
      </c>
      <c r="H1236" s="1" cm="1">
        <f t="array" ref="H1236">SUMPRODUCT(("T_C-ICE-GSL-S2"=[1]OUT_TransportEnergyCons!$A$3:$A$1000)*1,("var_fout"=[1]OUT_TransportEnergyCons!$B$3:$B$1000)*1,ISNUMBER(SEARCH("TPCAR",[1]OUT_TransportEnergyCons!$C$3:$C$1000))*1,[1]OUT_TransportEnergyCons!F$3:F$1000)</f>
        <v>2.8903164503413188</v>
      </c>
      <c r="I1236" s="1" cm="1">
        <f t="array" ref="I1236">SUMPRODUCT(("T_C-ICE-GSL-S2"=[1]OUT_TransportEnergyCons!$A$3:$A$1000)*1,("var_fout"=[1]OUT_TransportEnergyCons!$B$3:$B$1000)*1,ISNUMBER(SEARCH("TPCAR",[1]OUT_TransportEnergyCons!$C$3:$C$1000))*1,[1]OUT_TransportEnergyCons!G$3:G$1000)</f>
        <v>2.5090843779430125</v>
      </c>
      <c r="J1236" s="1" cm="1">
        <f t="array" ref="J1236">SUMPRODUCT(("T_C-ICE-GSL-S2"=[1]OUT_TransportEnergyCons!$A$3:$A$1000)*1,("var_fout"=[1]OUT_TransportEnergyCons!$B$3:$B$1000)*1,ISNUMBER(SEARCH("TPCAR",[1]OUT_TransportEnergyCons!$C$3:$C$1000))*1,[1]OUT_TransportEnergyCons!H$3:H$1000)</f>
        <v>8.4683308835066409E-4</v>
      </c>
      <c r="K1236" s="1" cm="1">
        <f t="array" ref="K1236">SUMPRODUCT(("T_C-ICE-GSL-S2"=[1]OUT_TransportEnergyCons!$A$3:$A$1000)*1,("var_fout"=[1]OUT_TransportEnergyCons!$B$3:$B$1000)*1,ISNUMBER(SEARCH("TPCAR",[1]OUT_TransportEnergyCons!$C$3:$C$1000))*1,[1]OUT_TransportEnergyCons!I$3:I$1000)</f>
        <v>0</v>
      </c>
    </row>
    <row r="1237" spans="2:11" x14ac:dyDescent="0.35">
      <c r="B1237" s="5" t="str">
        <f t="shared" si="814"/>
        <v>SPS1</v>
      </c>
      <c r="C1237" s="5" t="str">
        <f t="shared" si="815"/>
        <v>CH</v>
      </c>
      <c r="D1237" t="s">
        <v>1158</v>
      </c>
      <c r="E1237" t="str">
        <f t="shared" si="813"/>
        <v>billion km/yr.</v>
      </c>
      <c r="F1237" s="1" cm="1">
        <f t="array" ref="F1237">SUMPRODUCT(("T_C-ICE-GSL-S3"=[1]OUT_TransportEnergyCons!$A$3:$A$1000)*1,("var_fout"=[1]OUT_TransportEnergyCons!$B$3:$B$1000)*1,ISNUMBER(SEARCH("TPCAR",[1]OUT_TransportEnergyCons!$C$3:$C$1000))*1,[1]OUT_TransportEnergyCons!D$3:D$1000)</f>
        <v>1.949704114569172</v>
      </c>
      <c r="G1237" s="1" cm="1">
        <f t="array" ref="G1237">SUMPRODUCT(("T_C-ICE-GSL-S3"=[1]OUT_TransportEnergyCons!$A$3:$A$1000)*1,("var_fout"=[1]OUT_TransportEnergyCons!$B$3:$B$1000)*1,ISNUMBER(SEARCH("TPCAR",[1]OUT_TransportEnergyCons!$C$3:$C$1000))*1,[1]OUT_TransportEnergyCons!E$3:E$1000)</f>
        <v>2.9624620699527608</v>
      </c>
      <c r="H1237" s="1" cm="1">
        <f t="array" ref="H1237">SUMPRODUCT(("T_C-ICE-GSL-S3"=[1]OUT_TransportEnergyCons!$A$3:$A$1000)*1,("var_fout"=[1]OUT_TransportEnergyCons!$B$3:$B$1000)*1,ISNUMBER(SEARCH("TPCAR",[1]OUT_TransportEnergyCons!$C$3:$C$1000))*1,[1]OUT_TransportEnergyCons!F$3:F$1000)</f>
        <v>3.3748755342506027</v>
      </c>
      <c r="I1237" s="1" cm="1">
        <f t="array" ref="I1237">SUMPRODUCT(("T_C-ICE-GSL-S3"=[1]OUT_TransportEnergyCons!$A$3:$A$1000)*1,("var_fout"=[1]OUT_TransportEnergyCons!$B$3:$B$1000)*1,ISNUMBER(SEARCH("TPCAR",[1]OUT_TransportEnergyCons!$C$3:$C$1000))*1,[1]OUT_TransportEnergyCons!G$3:G$1000)</f>
        <v>2.7714395549702604</v>
      </c>
      <c r="J1237" s="1" cm="1">
        <f t="array" ref="J1237">SUMPRODUCT(("T_C-ICE-GSL-S3"=[1]OUT_TransportEnergyCons!$A$3:$A$1000)*1,("var_fout"=[1]OUT_TransportEnergyCons!$B$3:$B$1000)*1,ISNUMBER(SEARCH("TPCAR",[1]OUT_TransportEnergyCons!$C$3:$C$1000))*1,[1]OUT_TransportEnergyCons!H$3:H$1000)</f>
        <v>3.8632742102013451E-2</v>
      </c>
      <c r="K1237" s="1" cm="1">
        <f t="array" ref="K1237">SUMPRODUCT(("T_C-ICE-GSL-S3"=[1]OUT_TransportEnergyCons!$A$3:$A$1000)*1,("var_fout"=[1]OUT_TransportEnergyCons!$B$3:$B$1000)*1,ISNUMBER(SEARCH("TPCAR",[1]OUT_TransportEnergyCons!$C$3:$C$1000))*1,[1]OUT_TransportEnergyCons!I$3:I$1000)</f>
        <v>0</v>
      </c>
    </row>
    <row r="1238" spans="2:11" x14ac:dyDescent="0.35">
      <c r="B1238" s="5" t="str">
        <f t="shared" si="814"/>
        <v>SPS1</v>
      </c>
      <c r="C1238" s="5" t="str">
        <f t="shared" si="815"/>
        <v>CH</v>
      </c>
      <c r="D1238" t="s">
        <v>1159</v>
      </c>
      <c r="E1238" t="str">
        <f t="shared" si="813"/>
        <v>billion km/yr.</v>
      </c>
      <c r="F1238" s="1" cm="1">
        <f t="array" ref="F1238">SUMPRODUCT(("T_C-ICE-GSL-S4"=[1]OUT_TransportEnergyCons!$A$3:$A$1000)*1,("var_fout"=[1]OUT_TransportEnergyCons!$B$3:$B$1000)*1,ISNUMBER(SEARCH("TPCAR",[1]OUT_TransportEnergyCons!$C$3:$C$1000))*1,[1]OUT_TransportEnergyCons!D$3:D$1000)</f>
        <v>1.7144684249613626</v>
      </c>
      <c r="G1238" s="1" cm="1">
        <f t="array" ref="G1238">SUMPRODUCT(("T_C-ICE-GSL-S4"=[1]OUT_TransportEnergyCons!$A$3:$A$1000)*1,("var_fout"=[1]OUT_TransportEnergyCons!$B$3:$B$1000)*1,ISNUMBER(SEARCH("TPCAR",[1]OUT_TransportEnergyCons!$C$3:$C$1000))*1,[1]OUT_TransportEnergyCons!E$3:E$1000)</f>
        <v>2.276891680885305</v>
      </c>
      <c r="H1238" s="1" cm="1">
        <f t="array" ref="H1238">SUMPRODUCT(("T_C-ICE-GSL-S4"=[1]OUT_TransportEnergyCons!$A$3:$A$1000)*1,("var_fout"=[1]OUT_TransportEnergyCons!$B$3:$B$1000)*1,ISNUMBER(SEARCH("TPCAR",[1]OUT_TransportEnergyCons!$C$3:$C$1000))*1,[1]OUT_TransportEnergyCons!F$3:F$1000)</f>
        <v>4.7903018120146479</v>
      </c>
      <c r="I1238" s="1" cm="1">
        <f t="array" ref="I1238">SUMPRODUCT(("T_C-ICE-GSL-S4"=[1]OUT_TransportEnergyCons!$A$3:$A$1000)*1,("var_fout"=[1]OUT_TransportEnergyCons!$B$3:$B$1000)*1,ISNUMBER(SEARCH("TPCAR",[1]OUT_TransportEnergyCons!$C$3:$C$1000))*1,[1]OUT_TransportEnergyCons!G$3:G$1000)</f>
        <v>4.0442244974508004</v>
      </c>
      <c r="J1238" s="1" cm="1">
        <f t="array" ref="J1238">SUMPRODUCT(("T_C-ICE-GSL-S4"=[1]OUT_TransportEnergyCons!$A$3:$A$1000)*1,("var_fout"=[1]OUT_TransportEnergyCons!$B$3:$B$1000)*1,ISNUMBER(SEARCH("TPCAR",[1]OUT_TransportEnergyCons!$C$3:$C$1000))*1,[1]OUT_TransportEnergyCons!H$3:H$1000)</f>
        <v>0.20363961236347611</v>
      </c>
      <c r="K1238" s="1" cm="1">
        <f t="array" ref="K1238">SUMPRODUCT(("T_C-ICE-GSL-S4"=[1]OUT_TransportEnergyCons!$A$3:$A$1000)*1,("var_fout"=[1]OUT_TransportEnergyCons!$B$3:$B$1000)*1,ISNUMBER(SEARCH("TPCAR",[1]OUT_TransportEnergyCons!$C$3:$C$1000))*1,[1]OUT_TransportEnergyCons!I$3:I$1000)</f>
        <v>0</v>
      </c>
    </row>
    <row r="1239" spans="2:11" x14ac:dyDescent="0.35">
      <c r="B1239" s="5" t="str">
        <f t="shared" si="814"/>
        <v>SPS1</v>
      </c>
      <c r="C1239" s="5" t="str">
        <f t="shared" si="815"/>
        <v>CH</v>
      </c>
      <c r="D1239" t="s">
        <v>1160</v>
      </c>
      <c r="E1239" t="str">
        <f t="shared" si="813"/>
        <v>billion km/yr.</v>
      </c>
      <c r="F1239" s="1" cm="1">
        <f t="array" ref="F1239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39" s="1" cm="1">
        <f t="array" ref="G1239">SUMPRODUCT(("T_C-MHY-GSL-S1"=[1]OUT_TransportEnergyCons!$A$3:$A$1000)*1,("var_fout"=[1]OUT_TransportEnergyCons!$B$3:$B$1000)*1,ISNUMBER(SEARCH("TPCAR",[1]OUT_TransportEnergyCons!$C$3:$C$1000))*1,[1]OUT_TransportEnergyCons!E$3:E$1000)</f>
        <v>1.1287259728173499E-4</v>
      </c>
      <c r="H1239" s="1" cm="1">
        <f t="array" ref="H1239">SUMPRODUCT(("T_C-MHY-GSL-S1"=[1]OUT_TransportEnergyCons!$A$3:$A$1000)*1,("var_fout"=[1]OUT_TransportEnergyCons!$B$3:$B$1000)*1,ISNUMBER(SEARCH("TPCAR",[1]OUT_TransportEnergyCons!$C$3:$C$1000))*1,[1]OUT_TransportEnergyCons!F$3:F$1000)</f>
        <v>4.5403194760909761E-4</v>
      </c>
      <c r="I1239" s="1" cm="1">
        <f t="array" ref="I1239">SUMPRODUCT(("T_C-MHY-GSL-S1"=[1]OUT_TransportEnergyCons!$A$3:$A$1000)*1,("var_fout"=[1]OUT_TransportEnergyCons!$B$3:$B$1000)*1,ISNUMBER(SEARCH("TPCAR",[1]OUT_TransportEnergyCons!$C$3:$C$1000))*1,[1]OUT_TransportEnergyCons!G$3:G$1000)</f>
        <v>5.6179308977800078E-4</v>
      </c>
      <c r="J1239" s="1" cm="1">
        <f t="array" ref="J1239">SUMPRODUCT(("T_C-MHY-GSL-S1"=[1]OUT_TransportEnergyCons!$A$3:$A$1000)*1,("var_fout"=[1]OUT_TransportEnergyCons!$B$3:$B$1000)*1,ISNUMBER(SEARCH("TPCAR",[1]OUT_TransportEnergyCons!$C$3:$C$1000))*1,[1]OUT_TransportEnergyCons!H$3:H$1000)</f>
        <v>1.0548069750232437E-4</v>
      </c>
      <c r="K1239" s="1" cm="1">
        <f t="array" ref="K1239">SUMPRODUCT(("T_C-MHY-GSL-S1"=[1]OUT_TransportEnergyCons!$A$3:$A$1000)*1,("var_fout"=[1]OUT_TransportEnergyCons!$B$3:$B$1000)*1,ISNUMBER(SEARCH("TPCAR",[1]OUT_TransportEnergyCons!$C$3:$C$1000))*1,[1]OUT_TransportEnergyCons!I$3:I$1000)</f>
        <v>0</v>
      </c>
    </row>
    <row r="1240" spans="2:11" x14ac:dyDescent="0.35">
      <c r="B1240" s="5" t="str">
        <f t="shared" si="814"/>
        <v>SPS1</v>
      </c>
      <c r="C1240" s="5" t="str">
        <f t="shared" si="815"/>
        <v>CH</v>
      </c>
      <c r="D1240" t="s">
        <v>1161</v>
      </c>
      <c r="E1240" t="str">
        <f t="shared" si="813"/>
        <v>billion km/yr.</v>
      </c>
      <c r="F1240" s="1" cm="1">
        <f t="array" ref="F1240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0" s="1" cm="1">
        <f t="array" ref="G1240">SUMPRODUCT(("T_C-MHY-GSL-S2"=[1]OUT_TransportEnergyCons!$A$3:$A$1000)*1,("var_fout"=[1]OUT_TransportEnergyCons!$B$3:$B$1000)*1,ISNUMBER(SEARCH("TPCAR",[1]OUT_TransportEnergyCons!$C$3:$C$1000))*1,[1]OUT_TransportEnergyCons!E$3:E$1000)</f>
        <v>7.2630956529243969E-5</v>
      </c>
      <c r="H1240" s="1" cm="1">
        <f t="array" ref="H1240">SUMPRODUCT(("T_C-MHY-GSL-S2"=[1]OUT_TransportEnergyCons!$A$3:$A$1000)*1,("var_fout"=[1]OUT_TransportEnergyCons!$B$3:$B$1000)*1,ISNUMBER(SEARCH("TPCAR",[1]OUT_TransportEnergyCons!$C$3:$C$1000))*1,[1]OUT_TransportEnergyCons!F$3:F$1000)</f>
        <v>3.4787683925718138E-4</v>
      </c>
      <c r="I1240" s="1" cm="1">
        <f t="array" ref="I1240">SUMPRODUCT(("T_C-MHY-GSL-S2"=[1]OUT_TransportEnergyCons!$A$3:$A$1000)*1,("var_fout"=[1]OUT_TransportEnergyCons!$B$3:$B$1000)*1,ISNUMBER(SEARCH("TPCAR",[1]OUT_TransportEnergyCons!$C$3:$C$1000))*1,[1]OUT_TransportEnergyCons!G$3:G$1000)</f>
        <v>4.8244368012047805E-4</v>
      </c>
      <c r="J1240" s="1" cm="1">
        <f t="array" ref="J1240">SUMPRODUCT(("T_C-MHY-GSL-S2"=[1]OUT_TransportEnergyCons!$A$3:$A$1000)*1,("var_fout"=[1]OUT_TransportEnergyCons!$B$3:$B$1000)*1,ISNUMBER(SEARCH("TPCAR",[1]OUT_TransportEnergyCons!$C$3:$C$1000))*1,[1]OUT_TransportEnergyCons!H$3:H$1000)</f>
        <v>9.7916854069024761E-5</v>
      </c>
      <c r="K1240" s="1" cm="1">
        <f t="array" ref="K1240">SUMPRODUCT(("T_C-MHY-GSL-S2"=[1]OUT_TransportEnergyCons!$A$3:$A$1000)*1,("var_fout"=[1]OUT_TransportEnergyCons!$B$3:$B$1000)*1,ISNUMBER(SEARCH("TPCAR",[1]OUT_TransportEnergyCons!$C$3:$C$1000))*1,[1]OUT_TransportEnergyCons!I$3:I$1000)</f>
        <v>0</v>
      </c>
    </row>
    <row r="1241" spans="2:11" x14ac:dyDescent="0.35">
      <c r="B1241" s="5" t="str">
        <f t="shared" si="814"/>
        <v>SPS1</v>
      </c>
      <c r="C1241" s="5" t="str">
        <f t="shared" si="815"/>
        <v>CH</v>
      </c>
      <c r="D1241" t="s">
        <v>1162</v>
      </c>
      <c r="E1241" t="str">
        <f t="shared" si="813"/>
        <v>billion km/yr.</v>
      </c>
      <c r="F1241" s="1" cm="1">
        <f t="array" ref="F1241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SUMPRODUCT(("T_C-MHY-GSL-S3"=[1]OUT_TransportEnergyCons!$A$3:$A$1000)*1,("var_fout"=[1]OUT_TransportEnergyCons!$B$3:$B$1000)*1,ISNUMBER(SEARCH("TPCAR",[1]OUT_TransportEnergyCons!$C$3:$C$1000))*1,[1]OUT_TransportEnergyCons!E$3:E$1000)</f>
        <v>9.7404377228871693E-5</v>
      </c>
      <c r="H1241" s="1" cm="1">
        <f t="array" ref="H1241">SUMPRODUCT(("T_C-MHY-GSL-S3"=[1]OUT_TransportEnergyCons!$A$3:$A$1000)*1,("var_fout"=[1]OUT_TransportEnergyCons!$B$3:$B$1000)*1,ISNUMBER(SEARCH("TPCAR",[1]OUT_TransportEnergyCons!$C$3:$C$1000))*1,[1]OUT_TransportEnergyCons!F$3:F$1000)</f>
        <v>3.6078748736364228E-4</v>
      </c>
      <c r="I1241" s="1" cm="1">
        <f t="array" ref="I1241">SUMPRODUCT(("T_C-MHY-GSL-S3"=[1]OUT_TransportEnergyCons!$A$3:$A$1000)*1,("var_fout"=[1]OUT_TransportEnergyCons!$B$3:$B$1000)*1,ISNUMBER(SEARCH("TPCAR",[1]OUT_TransportEnergyCons!$C$3:$C$1000))*1,[1]OUT_TransportEnergyCons!G$3:G$1000)</f>
        <v>4.6850702701647224E-4</v>
      </c>
      <c r="J1241" s="1" cm="1">
        <f t="array" ref="J1241">SUMPRODUCT(("T_C-MHY-GSL-S3"=[1]OUT_TransportEnergyCons!$A$3:$A$1000)*1,("var_fout"=[1]OUT_TransportEnergyCons!$B$3:$B$1000)*1,ISNUMBER(SEARCH("TPCAR",[1]OUT_TransportEnergyCons!$C$3:$C$1000))*1,[1]OUT_TransportEnergyCons!H$3:H$1000)</f>
        <v>8.1717219089356903E-5</v>
      </c>
      <c r="K1241" s="1" cm="1">
        <f t="array" ref="K1241">SUMPRODUCT(("T_C-MHY-GSL-S3"=[1]OUT_TransportEnergyCons!$A$3:$A$1000)*1,("var_fout"=[1]OUT_TransportEnergyCons!$B$3:$B$1000)*1,ISNUMBER(SEARCH("TPCAR",[1]OUT_TransportEnergyCons!$C$3:$C$1000))*1,[1]OUT_TransportEnergyCons!I$3:I$1000)</f>
        <v>0</v>
      </c>
    </row>
    <row r="1242" spans="2:11" x14ac:dyDescent="0.35">
      <c r="B1242" s="5" t="str">
        <f t="shared" si="814"/>
        <v>SPS1</v>
      </c>
      <c r="C1242" s="5" t="str">
        <f t="shared" si="815"/>
        <v>CH</v>
      </c>
      <c r="D1242" t="s">
        <v>1163</v>
      </c>
      <c r="E1242" t="str">
        <f t="shared" si="813"/>
        <v>billion km/yr.</v>
      </c>
      <c r="F1242" s="1" cm="1">
        <f t="array" ref="F1242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SUMPRODUCT(("T_C-MHY-GSL-S4"=[1]OUT_TransportEnergyCons!$A$3:$A$1000)*1,("var_fout"=[1]OUT_TransportEnergyCons!$B$3:$B$1000)*1,ISNUMBER(SEARCH("TPCAR",[1]OUT_TransportEnergyCons!$C$3:$C$1000))*1,[1]OUT_TransportEnergyCons!E$3:E$1000)</f>
        <v>1.2357280690131331E-4</v>
      </c>
      <c r="H1242" s="1" cm="1">
        <f t="array" ref="H1242">SUMPRODUCT(("T_C-MHY-GSL-S4"=[1]OUT_TransportEnergyCons!$A$3:$A$1000)*1,("var_fout"=[1]OUT_TransportEnergyCons!$B$3:$B$1000)*1,ISNUMBER(SEARCH("TPCAR",[1]OUT_TransportEnergyCons!$C$3:$C$1000))*1,[1]OUT_TransportEnergyCons!F$3:F$1000)</f>
        <v>4.8524566950772452E-4</v>
      </c>
      <c r="I1242" s="1" cm="1">
        <f t="array" ref="I1242">SUMPRODUCT(("T_C-MHY-GSL-S4"=[1]OUT_TransportEnergyCons!$A$3:$A$1000)*1,("var_fout"=[1]OUT_TransportEnergyCons!$B$3:$B$1000)*1,ISNUMBER(SEARCH("TPCAR",[1]OUT_TransportEnergyCons!$C$3:$C$1000))*1,[1]OUT_TransportEnergyCons!G$3:G$1000)</f>
        <v>6.9022611217279791E-4</v>
      </c>
      <c r="J1242" s="1" cm="1">
        <f t="array" ref="J1242">SUMPRODUCT(("T_C-MHY-GSL-S4"=[1]OUT_TransportEnergyCons!$A$3:$A$1000)*1,("var_fout"=[1]OUT_TransportEnergyCons!$B$3:$B$1000)*1,ISNUMBER(SEARCH("TPCAR",[1]OUT_TransportEnergyCons!$C$3:$C$1000))*1,[1]OUT_TransportEnergyCons!H$3:H$1000)</f>
        <v>1.2789197071579235E-4</v>
      </c>
      <c r="K1242" s="1" cm="1">
        <f t="array" ref="K1242">SUMPRODUCT(("T_C-MHY-GSL-S4"=[1]OUT_TransportEnergyCons!$A$3:$A$1000)*1,("var_fout"=[1]OUT_TransportEnergyCons!$B$3:$B$1000)*1,ISNUMBER(SEARCH("TPCAR",[1]OUT_TransportEnergyCons!$C$3:$C$1000))*1,[1]OUT_TransportEnergyCons!I$3:I$1000)</f>
        <v>0</v>
      </c>
    </row>
    <row r="1243" spans="2:11" x14ac:dyDescent="0.35">
      <c r="B1243" s="5" t="str">
        <f t="shared" si="814"/>
        <v>SPS1</v>
      </c>
      <c r="C1243" s="5" t="str">
        <f t="shared" si="815"/>
        <v>CH</v>
      </c>
      <c r="D1243" t="s">
        <v>1236</v>
      </c>
      <c r="E1243" t="str">
        <f t="shared" si="813"/>
        <v>billion km/yr.</v>
      </c>
      <c r="F1243" s="1" cm="1">
        <f t="array" ref="F1243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3" s="1" cm="1">
        <f t="array" ref="H1243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3" s="1" cm="1">
        <f t="array" ref="I1243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3" s="1" cm="1">
        <f t="array" ref="J1243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3" s="1" cm="1">
        <f t="array" ref="K1243">SUMPRODUCT(("T_C-HYBDSLEXT"=[1]OUT_TransportEnergyCons!$A$3:$A$1000)*1,("var_fout"=[1]OUT_TransportEnergyCons!$B$3:$B$1000)*1,ISNUMBER(SEARCH("TPCAR",[1]OUT_TransportEnergyCons!$C$3:$C$1000))*1,[1]OUT_TransportEnergyCons!I$3:I$1000)</f>
        <v>0</v>
      </c>
    </row>
    <row r="1244" spans="2:11" x14ac:dyDescent="0.35">
      <c r="B1244" s="5" t="str">
        <f t="shared" si="814"/>
        <v>SPS1</v>
      </c>
      <c r="C1244" s="5" t="str">
        <f t="shared" si="815"/>
        <v>CH</v>
      </c>
      <c r="D1244" t="s">
        <v>1164</v>
      </c>
      <c r="E1244" t="str">
        <f t="shared" si="813"/>
        <v>billion km/yr.</v>
      </c>
      <c r="F1244" s="1" cm="1">
        <f t="array" ref="F1244">SUMPRODUCT(("T_C-HY-DSL-S1"=[1]OUT_TransportEnergyCons!$A$3:$A$1000)*1,("var_fout"=[1]OUT_TransportEnergyCons!$B$3:$B$1000)*1,ISNUMBER(SEARCH("TPCAR",[1]OUT_TransportEnergyCons!$C$3:$C$1000))*1,[1]OUT_TransportEnergyCons!D$3:D$1000)</f>
        <v>1.3250467212342269E-5</v>
      </c>
      <c r="G1244" s="1" cm="1">
        <f t="array" ref="G1244">SUMPRODUCT(("T_C-HY-DSL-S1"=[1]OUT_TransportEnergyCons!$A$3:$A$1000)*1,("var_fout"=[1]OUT_TransportEnergyCons!$B$3:$B$1000)*1,ISNUMBER(SEARCH("TPCAR",[1]OUT_TransportEnergyCons!$C$3:$C$1000))*1,[1]OUT_TransportEnergyCons!E$3:E$1000)</f>
        <v>0.30054635571803662</v>
      </c>
      <c r="H1244" s="1" cm="1">
        <f t="array" ref="H1244">SUMPRODUCT(("T_C-HY-DSL-S1"=[1]OUT_TransportEnergyCons!$A$3:$A$1000)*1,("var_fout"=[1]OUT_TransportEnergyCons!$B$3:$B$1000)*1,ISNUMBER(SEARCH("TPCAR",[1]OUT_TransportEnergyCons!$C$3:$C$1000))*1,[1]OUT_TransportEnergyCons!F$3:F$1000)</f>
        <v>0.20221689775601331</v>
      </c>
      <c r="I1244" s="1" cm="1">
        <f t="array" ref="I1244">SUMPRODUCT(("T_C-HY-DSL-S1"=[1]OUT_TransportEnergyCons!$A$3:$A$1000)*1,("var_fout"=[1]OUT_TransportEnergyCons!$B$3:$B$1000)*1,ISNUMBER(SEARCH("TPCAR",[1]OUT_TransportEnergyCons!$C$3:$C$1000))*1,[1]OUT_TransportEnergyCons!G$3:G$1000)</f>
        <v>0.16274244878517002</v>
      </c>
      <c r="J1244" s="1" cm="1">
        <f t="array" ref="J1244">SUMPRODUCT(("T_C-HY-DSL-S1"=[1]OUT_TransportEnergyCons!$A$3:$A$1000)*1,("var_fout"=[1]OUT_TransportEnergyCons!$B$3:$B$1000)*1,ISNUMBER(SEARCH("TPCAR",[1]OUT_TransportEnergyCons!$C$3:$C$1000))*1,[1]OUT_TransportEnergyCons!H$3:H$1000)</f>
        <v>3.3315018692129137E-4</v>
      </c>
      <c r="K1244" s="1" cm="1">
        <f t="array" ref="K1244">SUMPRODUCT(("T_C-HY-DSL-S1"=[1]OUT_TransportEnergyCons!$A$3:$A$1000)*1,("var_fout"=[1]OUT_TransportEnergyCons!$B$3:$B$1000)*1,ISNUMBER(SEARCH("TPCAR",[1]OUT_TransportEnergyCons!$C$3:$C$1000))*1,[1]OUT_TransportEnergyCons!I$3:I$1000)</f>
        <v>0</v>
      </c>
    </row>
    <row r="1245" spans="2:11" x14ac:dyDescent="0.35">
      <c r="B1245" s="5" t="str">
        <f t="shared" si="814"/>
        <v>SPS1</v>
      </c>
      <c r="C1245" s="5" t="str">
        <f t="shared" si="815"/>
        <v>CH</v>
      </c>
      <c r="D1245" t="s">
        <v>1165</v>
      </c>
      <c r="E1245" t="str">
        <f t="shared" si="813"/>
        <v>billion km/yr.</v>
      </c>
      <c r="F1245" s="1" cm="1">
        <f t="array" ref="F1245">SUMPRODUCT(("T_C-HY-DSL-S2"=[1]OUT_TransportEnergyCons!$A$3:$A$1000)*1,("var_fout"=[1]OUT_TransportEnergyCons!$B$3:$B$1000)*1,ISNUMBER(SEARCH("TPCAR",[1]OUT_TransportEnergyCons!$C$3:$C$1000))*1,[1]OUT_TransportEnergyCons!D$3:D$1000)</f>
        <v>3.3125872818701506E-3</v>
      </c>
      <c r="G1245" s="1" cm="1">
        <f t="array" ref="G1245">SUMPRODUCT(("T_C-HY-DSL-S2"=[1]OUT_TransportEnergyCons!$A$3:$A$1000)*1,("var_fout"=[1]OUT_TransportEnergyCons!$B$3:$B$1000)*1,ISNUMBER(SEARCH("TPCAR",[1]OUT_TransportEnergyCons!$C$3:$C$1000))*1,[1]OUT_TransportEnergyCons!E$3:E$1000)</f>
        <v>1.2220971665097575</v>
      </c>
      <c r="H1245" s="1" cm="1">
        <f t="array" ref="H1245">SUMPRODUCT(("T_C-HY-DSL-S2"=[1]OUT_TransportEnergyCons!$A$3:$A$1000)*1,("var_fout"=[1]OUT_TransportEnergyCons!$B$3:$B$1000)*1,ISNUMBER(SEARCH("TPCAR",[1]OUT_TransportEnergyCons!$C$3:$C$1000))*1,[1]OUT_TransportEnergyCons!F$3:F$1000)</f>
        <v>2.7682546246947273</v>
      </c>
      <c r="I1245" s="1" cm="1">
        <f t="array" ref="I1245">SUMPRODUCT(("T_C-HY-DSL-S2"=[1]OUT_TransportEnergyCons!$A$3:$A$1000)*1,("var_fout"=[1]OUT_TransportEnergyCons!$B$3:$B$1000)*1,ISNUMBER(SEARCH("TPCAR",[1]OUT_TransportEnergyCons!$C$3:$C$1000))*1,[1]OUT_TransportEnergyCons!G$3:G$1000)</f>
        <v>2.3459960761156351</v>
      </c>
      <c r="J1245" s="1" cm="1">
        <f t="array" ref="J1245">SUMPRODUCT(("T_C-HY-DSL-S2"=[1]OUT_TransportEnergyCons!$A$3:$A$1000)*1,("var_fout"=[1]OUT_TransportEnergyCons!$B$3:$B$1000)*1,ISNUMBER(SEARCH("TPCAR",[1]OUT_TransportEnergyCons!$C$3:$C$1000))*1,[1]OUT_TransportEnergyCons!H$3:H$1000)</f>
        <v>9.9233187047762988E-2</v>
      </c>
      <c r="K1245" s="1" cm="1">
        <f t="array" ref="K1245">SUMPRODUCT(("T_C-HY-DSL-S2"=[1]OUT_TransportEnergyCons!$A$3:$A$1000)*1,("var_fout"=[1]OUT_TransportEnergyCons!$B$3:$B$1000)*1,ISNUMBER(SEARCH("TPCAR",[1]OUT_TransportEnergyCons!$C$3:$C$1000))*1,[1]OUT_TransportEnergyCons!I$3:I$1000)</f>
        <v>0</v>
      </c>
    </row>
    <row r="1246" spans="2:11" x14ac:dyDescent="0.35">
      <c r="B1246" s="5" t="str">
        <f t="shared" si="814"/>
        <v>SPS1</v>
      </c>
      <c r="C1246" s="5" t="str">
        <f t="shared" si="815"/>
        <v>CH</v>
      </c>
      <c r="D1246" t="s">
        <v>1166</v>
      </c>
      <c r="E1246" t="str">
        <f t="shared" si="813"/>
        <v>billion km/yr.</v>
      </c>
      <c r="F1246" s="1" cm="1">
        <f t="array" ref="F1246">SUMPRODUCT(("T_C-HY-DSL-S3"=[1]OUT_TransportEnergyCons!$A$3:$A$1000)*1,("var_fout"=[1]OUT_TransportEnergyCons!$B$3:$B$1000)*1,ISNUMBER(SEARCH("TPCAR",[1]OUT_TransportEnergyCons!$C$3:$C$1000))*1,[1]OUT_TransportEnergyCons!D$3:D$1000)</f>
        <v>2.6404249892465197E-2</v>
      </c>
      <c r="G1246" s="1" cm="1">
        <f t="array" ref="G1246">SUMPRODUCT(("T_C-HY-DSL-S3"=[1]OUT_TransportEnergyCons!$A$3:$A$1000)*1,("var_fout"=[1]OUT_TransportEnergyCons!$B$3:$B$1000)*1,ISNUMBER(SEARCH("TPCAR",[1]OUT_TransportEnergyCons!$C$3:$C$1000))*1,[1]OUT_TransportEnergyCons!E$3:E$1000)</f>
        <v>5.4064282232739465E-2</v>
      </c>
      <c r="H1246" s="1" cm="1">
        <f t="array" ref="H1246">SUMPRODUCT(("T_C-HY-DSL-S3"=[1]OUT_TransportEnergyCons!$A$3:$A$1000)*1,("var_fout"=[1]OUT_TransportEnergyCons!$B$3:$B$1000)*1,ISNUMBER(SEARCH("TPCAR",[1]OUT_TransportEnergyCons!$C$3:$C$1000))*1,[1]OUT_TransportEnergyCons!F$3:F$1000)</f>
        <v>5.1625971466422824E-2</v>
      </c>
      <c r="I1246" s="1" cm="1">
        <f t="array" ref="I1246">SUMPRODUCT(("T_C-HY-DSL-S3"=[1]OUT_TransportEnergyCons!$A$3:$A$1000)*1,("var_fout"=[1]OUT_TransportEnergyCons!$B$3:$B$1000)*1,ISNUMBER(SEARCH("TPCAR",[1]OUT_TransportEnergyCons!$C$3:$C$1000))*1,[1]OUT_TransportEnergyCons!G$3:G$1000)</f>
        <v>4.1074681628356972E-2</v>
      </c>
      <c r="J1246" s="1" cm="1">
        <f t="array" ref="J1246">SUMPRODUCT(("T_C-HY-DSL-S3"=[1]OUT_TransportEnergyCons!$A$3:$A$1000)*1,("var_fout"=[1]OUT_TransportEnergyCons!$B$3:$B$1000)*1,ISNUMBER(SEARCH("TPCAR",[1]OUT_TransportEnergyCons!$C$3:$C$1000))*1,[1]OUT_TransportEnergyCons!H$3:H$1000)</f>
        <v>4.9737971855968634E-5</v>
      </c>
      <c r="K1246" s="1" cm="1">
        <f t="array" ref="K1246">SUMPRODUCT(("T_C-HY-DSL-S3"=[1]OUT_TransportEnergyCons!$A$3:$A$1000)*1,("var_fout"=[1]OUT_TransportEnergyCons!$B$3:$B$1000)*1,ISNUMBER(SEARCH("TPCAR",[1]OUT_TransportEnergyCons!$C$3:$C$1000))*1,[1]OUT_TransportEnergyCons!I$3:I$1000)</f>
        <v>0</v>
      </c>
    </row>
    <row r="1247" spans="2:11" x14ac:dyDescent="0.35">
      <c r="B1247" s="5" t="str">
        <f t="shared" si="814"/>
        <v>SPS1</v>
      </c>
      <c r="C1247" s="5" t="str">
        <f t="shared" si="815"/>
        <v>CH</v>
      </c>
      <c r="D1247" t="s">
        <v>1167</v>
      </c>
      <c r="E1247" t="str">
        <f t="shared" si="813"/>
        <v>billion km/yr.</v>
      </c>
      <c r="F1247" s="1" cm="1">
        <f t="array" ref="F1247">SUMPRODUCT(("T_C-HY-DSL-S4"=[1]OUT_TransportEnergyCons!$A$3:$A$1000)*1,("var_fout"=[1]OUT_TransportEnergyCons!$B$3:$B$1000)*1,ISNUMBER(SEARCH("TPCAR",[1]OUT_TransportEnergyCons!$C$3:$C$1000))*1,[1]OUT_TransportEnergyCons!D$3:D$1000)</f>
        <v>4.7529540597026916E-2</v>
      </c>
      <c r="G1247" s="1" cm="1">
        <f t="array" ref="G1247">SUMPRODUCT(("T_C-HY-DSL-S4"=[1]OUT_TransportEnergyCons!$A$3:$A$1000)*1,("var_fout"=[1]OUT_TransportEnergyCons!$B$3:$B$1000)*1,ISNUMBER(SEARCH("TPCAR",[1]OUT_TransportEnergyCons!$C$3:$C$1000))*1,[1]OUT_TransportEnergyCons!E$3:E$1000)</f>
        <v>0.11199479757069629</v>
      </c>
      <c r="H1247" s="1" cm="1">
        <f t="array" ref="H1247">SUMPRODUCT(("T_C-HY-DSL-S4"=[1]OUT_TransportEnergyCons!$A$3:$A$1000)*1,("var_fout"=[1]OUT_TransportEnergyCons!$B$3:$B$1000)*1,ISNUMBER(SEARCH("TPCAR",[1]OUT_TransportEnergyCons!$C$3:$C$1000))*1,[1]OUT_TransportEnergyCons!F$3:F$1000)</f>
        <v>0.10684634914976715</v>
      </c>
      <c r="I1247" s="1" cm="1">
        <f t="array" ref="I1247">SUMPRODUCT(("T_C-HY-DSL-S4"=[1]OUT_TransportEnergyCons!$A$3:$A$1000)*1,("var_fout"=[1]OUT_TransportEnergyCons!$B$3:$B$1000)*1,ISNUMBER(SEARCH("TPCAR",[1]OUT_TransportEnergyCons!$C$3:$C$1000))*1,[1]OUT_TransportEnergyCons!G$3:G$1000)</f>
        <v>8.9640123659230644E-2</v>
      </c>
      <c r="J1247" s="1" cm="1">
        <f t="array" ref="J1247">SUMPRODUCT(("T_C-HY-DSL-S4"=[1]OUT_TransportEnergyCons!$A$3:$A$1000)*1,("var_fout"=[1]OUT_TransportEnergyCons!$B$3:$B$1000)*1,ISNUMBER(SEARCH("TPCAR",[1]OUT_TransportEnergyCons!$C$3:$C$1000))*1,[1]OUT_TransportEnergyCons!H$3:H$1000)</f>
        <v>5.2973491553581085E-5</v>
      </c>
      <c r="K1247" s="1" cm="1">
        <f t="array" ref="K1247">SUMPRODUCT(("T_C-HY-DSL-S4"=[1]OUT_TransportEnergyCons!$A$3:$A$1000)*1,("var_fout"=[1]OUT_TransportEnergyCons!$B$3:$B$1000)*1,ISNUMBER(SEARCH("TPCAR",[1]OUT_TransportEnergyCons!$C$3:$C$1000))*1,[1]OUT_TransportEnergyCons!I$3:I$1000)</f>
        <v>0</v>
      </c>
    </row>
    <row r="1248" spans="2:11" x14ac:dyDescent="0.35">
      <c r="B1248" s="5" t="str">
        <f t="shared" si="814"/>
        <v>SPS1</v>
      </c>
      <c r="C1248" s="5" t="str">
        <f t="shared" si="815"/>
        <v>CH</v>
      </c>
      <c r="D1248" t="s">
        <v>1168</v>
      </c>
      <c r="E1248" t="str">
        <f t="shared" si="813"/>
        <v>billion km/yr.</v>
      </c>
      <c r="F1248" s="1" cm="1">
        <f t="array" ref="F1248">SUMPRODUCT(("T_C-ICEDSLEXT"=[1]OUT_TransportEnergyCons!$A$3:$A$1000)*1,("var_fout"=[1]OUT_TransportEnergyCons!$B$3:$B$1000)*1,ISNUMBER(SEARCH("TPCAR",[1]OUT_TransportEnergyCons!$C$3:$C$1000))*1,[1]OUT_TransportEnergyCons!D$3:D$1000)</f>
        <v>17.673721180183637</v>
      </c>
      <c r="G1248" s="1" cm="1">
        <f t="array" ref="G1248">SUMPRODUCT(("T_C-ICEDSLEXT"=[1]OUT_TransportEnergyCons!$A$3:$A$1000)*1,("var_fout"=[1]OUT_TransportEnergyCons!$B$3:$B$1000)*1,ISNUMBER(SEARCH("TPCAR",[1]OUT_TransportEnergyCons!$C$3:$C$1000))*1,[1]OUT_TransportEnergyCons!E$3:E$1000)</f>
        <v>17.23595151532275</v>
      </c>
      <c r="H1248" s="1" cm="1">
        <f t="array" ref="H1248">SUMPRODUCT(("T_C-ICEDSLEXT"=[1]OUT_TransportEnergyCons!$A$3:$A$1000)*1,("var_fout"=[1]OUT_TransportEnergyCons!$B$3:$B$1000)*1,ISNUMBER(SEARCH("TPCAR",[1]OUT_TransportEnergyCons!$C$3:$C$1000))*1,[1]OUT_TransportEnergyCons!F$3:F$1000)</f>
        <v>13.258401949837891</v>
      </c>
      <c r="I1248" s="1" cm="1">
        <f t="array" ref="I1248">SUMPRODUCT(("T_C-ICEDSLEXT"=[1]OUT_TransportEnergyCons!$A$3:$A$1000)*1,("var_fout"=[1]OUT_TransportEnergyCons!$B$3:$B$1000)*1,ISNUMBER(SEARCH("TPCAR",[1]OUT_TransportEnergyCons!$C$3:$C$1000))*1,[1]OUT_TransportEnergyCons!G$3:G$1000)</f>
        <v>6.3333692281412235</v>
      </c>
      <c r="J1248" s="1" cm="1">
        <f t="array" ref="J1248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48" s="1" cm="1">
        <f t="array" ref="K1248">SUMPRODUCT(("T_C-ICEDSLEXT"=[1]OUT_TransportEnergyCons!$A$3:$A$1000)*1,("var_fout"=[1]OUT_TransportEnergyCons!$B$3:$B$1000)*1,ISNUMBER(SEARCH("TPCAR",[1]OUT_TransportEnergyCons!$C$3:$C$1000))*1,[1]OUT_TransportEnergyCons!I$3:I$1000)</f>
        <v>0</v>
      </c>
    </row>
    <row r="1249" spans="2:11" x14ac:dyDescent="0.35">
      <c r="B1249" s="5" t="str">
        <f t="shared" si="814"/>
        <v>SPS1</v>
      </c>
      <c r="C1249" s="5" t="str">
        <f t="shared" si="815"/>
        <v>CH</v>
      </c>
      <c r="D1249" t="s">
        <v>1169</v>
      </c>
      <c r="E1249" t="str">
        <f t="shared" si="813"/>
        <v>billion km/yr.</v>
      </c>
      <c r="F1249" s="1" cm="1">
        <f t="array" ref="F1249">SUMPRODUCT(("T_C-ICE-DSL-S1"=[1]OUT_TransportEnergyCons!$A$3:$A$1000)*1,("var_fout"=[1]OUT_TransportEnergyCons!$B$3:$B$1000)*1,ISNUMBER(SEARCH("TPCAR",[1]OUT_TransportEnergyCons!$C$3:$C$1000))*1,[1]OUT_TransportEnergyCons!D$3:D$1000)</f>
        <v>3.9156905982631407E-3</v>
      </c>
      <c r="G1249" s="1" cm="1">
        <f t="array" ref="G1249">SUMPRODUCT(("T_C-ICE-DSL-S1"=[1]OUT_TransportEnergyCons!$A$3:$A$1000)*1,("var_fout"=[1]OUT_TransportEnergyCons!$B$3:$B$1000)*1,ISNUMBER(SEARCH("TPCAR",[1]OUT_TransportEnergyCons!$C$3:$C$1000))*1,[1]OUT_TransportEnergyCons!E$3:E$1000)</f>
        <v>4.6135273511311173E-3</v>
      </c>
      <c r="H1249" s="1" cm="1">
        <f t="array" ref="H1249">SUMPRODUCT(("T_C-ICE-DSL-S1"=[1]OUT_TransportEnergyCons!$A$3:$A$1000)*1,("var_fout"=[1]OUT_TransportEnergyCons!$B$3:$B$1000)*1,ISNUMBER(SEARCH("TPCAR",[1]OUT_TransportEnergyCons!$C$3:$C$1000))*1,[1]OUT_TransportEnergyCons!F$3:F$1000)</f>
        <v>3.499257621049624E-3</v>
      </c>
      <c r="I1249" s="1" cm="1">
        <f t="array" ref="I1249">SUMPRODUCT(("T_C-ICE-DSL-S1"=[1]OUT_TransportEnergyCons!$A$3:$A$1000)*1,("var_fout"=[1]OUT_TransportEnergyCons!$B$3:$B$1000)*1,ISNUMBER(SEARCH("TPCAR",[1]OUT_TransportEnergyCons!$C$3:$C$1000))*1,[1]OUT_TransportEnergyCons!G$3:G$1000)</f>
        <v>2.6327932626722403E-3</v>
      </c>
      <c r="J1249" s="1" cm="1">
        <f t="array" ref="J1249">SUMPRODUCT(("T_C-ICE-DSL-S1"=[1]OUT_TransportEnergyCons!$A$3:$A$1000)*1,("var_fout"=[1]OUT_TransportEnergyCons!$B$3:$B$1000)*1,ISNUMBER(SEARCH("TPCAR",[1]OUT_TransportEnergyCons!$C$3:$C$1000))*1,[1]OUT_TransportEnergyCons!H$3:H$1000)</f>
        <v>7.0695446484811511E-5</v>
      </c>
      <c r="K1249" s="1" cm="1">
        <f t="array" ref="K1249">SUMPRODUCT(("T_C-ICE-DSL-S1"=[1]OUT_TransportEnergyCons!$A$3:$A$1000)*1,("var_fout"=[1]OUT_TransportEnergyCons!$B$3:$B$1000)*1,ISNUMBER(SEARCH("TPCAR",[1]OUT_TransportEnergyCons!$C$3:$C$1000))*1,[1]OUT_TransportEnergyCons!I$3:I$1000)</f>
        <v>0</v>
      </c>
    </row>
    <row r="1250" spans="2:11" x14ac:dyDescent="0.35">
      <c r="B1250" s="5" t="str">
        <f t="shared" si="814"/>
        <v>SPS1</v>
      </c>
      <c r="C1250" s="5" t="str">
        <f t="shared" si="815"/>
        <v>CH</v>
      </c>
      <c r="D1250" t="s">
        <v>1170</v>
      </c>
      <c r="E1250" t="str">
        <f t="shared" si="813"/>
        <v>billion km/yr.</v>
      </c>
      <c r="F1250" s="1" cm="1">
        <f t="array" ref="F1250">SUMPRODUCT(("T_C-ICE-DSL-S2"=[1]OUT_TransportEnergyCons!$A$3:$A$1000)*1,("var_fout"=[1]OUT_TransportEnergyCons!$B$3:$B$1000)*1,ISNUMBER(SEARCH("TPCAR",[1]OUT_TransportEnergyCons!$C$3:$C$1000))*1,[1]OUT_TransportEnergyCons!D$3:D$1000)</f>
        <v>0.850729567036692</v>
      </c>
      <c r="G1250" s="1" cm="1">
        <f t="array" ref="G1250">SUMPRODUCT(("T_C-ICE-DSL-S2"=[1]OUT_TransportEnergyCons!$A$3:$A$1000)*1,("var_fout"=[1]OUT_TransportEnergyCons!$B$3:$B$1000)*1,ISNUMBER(SEARCH("TPCAR",[1]OUT_TransportEnergyCons!$C$3:$C$1000))*1,[1]OUT_TransportEnergyCons!E$3:E$1000)</f>
        <v>0.90303033087436613</v>
      </c>
      <c r="H1250" s="1" cm="1">
        <f t="array" ref="H1250">SUMPRODUCT(("T_C-ICE-DSL-S2"=[1]OUT_TransportEnergyCons!$A$3:$A$1000)*1,("var_fout"=[1]OUT_TransportEnergyCons!$B$3:$B$1000)*1,ISNUMBER(SEARCH("TPCAR",[1]OUT_TransportEnergyCons!$C$3:$C$1000))*1,[1]OUT_TransportEnergyCons!F$3:F$1000)</f>
        <v>0.71158945562150955</v>
      </c>
      <c r="I1250" s="1" cm="1">
        <f t="array" ref="I1250">SUMPRODUCT(("T_C-ICE-DSL-S2"=[1]OUT_TransportEnergyCons!$A$3:$A$1000)*1,("var_fout"=[1]OUT_TransportEnergyCons!$B$3:$B$1000)*1,ISNUMBER(SEARCH("TPCAR",[1]OUT_TransportEnergyCons!$C$3:$C$1000))*1,[1]OUT_TransportEnergyCons!G$3:G$1000)</f>
        <v>0.63237317616094757</v>
      </c>
      <c r="J1250" s="1" cm="1">
        <f t="array" ref="J1250">SUMPRODUCT(("T_C-ICE-DSL-S2"=[1]OUT_TransportEnergyCons!$A$3:$A$1000)*1,("var_fout"=[1]OUT_TransportEnergyCons!$B$3:$B$1000)*1,ISNUMBER(SEARCH("TPCAR",[1]OUT_TransportEnergyCons!$C$3:$C$1000))*1,[1]OUT_TransportEnergyCons!H$3:H$1000)</f>
        <v>6.931055099900727E-5</v>
      </c>
      <c r="K1250" s="1" cm="1">
        <f t="array" ref="K1250">SUMPRODUCT(("T_C-ICE-DSL-S2"=[1]OUT_TransportEnergyCons!$A$3:$A$1000)*1,("var_fout"=[1]OUT_TransportEnergyCons!$B$3:$B$1000)*1,ISNUMBER(SEARCH("TPCAR",[1]OUT_TransportEnergyCons!$C$3:$C$1000))*1,[1]OUT_TransportEnergyCons!I$3:I$1000)</f>
        <v>0</v>
      </c>
    </row>
    <row r="1251" spans="2:11" x14ac:dyDescent="0.35">
      <c r="B1251" s="5" t="str">
        <f t="shared" si="814"/>
        <v>SPS1</v>
      </c>
      <c r="C1251" s="5" t="str">
        <f t="shared" si="815"/>
        <v>CH</v>
      </c>
      <c r="D1251" t="s">
        <v>1171</v>
      </c>
      <c r="E1251" t="str">
        <f t="shared" si="813"/>
        <v>billion km/yr.</v>
      </c>
      <c r="F1251" s="1" cm="1">
        <f t="array" ref="F1251">SUMPRODUCT(("T_C-ICE-DSL-S3"=[1]OUT_TransportEnergyCons!$A$3:$A$1000)*1,("var_fout"=[1]OUT_TransportEnergyCons!$B$3:$B$1000)*1,ISNUMBER(SEARCH("TPCAR",[1]OUT_TransportEnergyCons!$C$3:$C$1000))*1,[1]OUT_TransportEnergyCons!D$3:D$1000)</f>
        <v>2.661123437867873</v>
      </c>
      <c r="G1251" s="1" cm="1">
        <f t="array" ref="G1251">SUMPRODUCT(("T_C-ICE-DSL-S3"=[1]OUT_TransportEnergyCons!$A$3:$A$1000)*1,("var_fout"=[1]OUT_TransportEnergyCons!$B$3:$B$1000)*1,ISNUMBER(SEARCH("TPCAR",[1]OUT_TransportEnergyCons!$C$3:$C$1000))*1,[1]OUT_TransportEnergyCons!E$3:E$1000)</f>
        <v>2.8361360438206198</v>
      </c>
      <c r="H1251" s="1" cm="1">
        <f t="array" ref="H1251">SUMPRODUCT(("T_C-ICE-DSL-S3"=[1]OUT_TransportEnergyCons!$A$3:$A$1000)*1,("var_fout"=[1]OUT_TransportEnergyCons!$B$3:$B$1000)*1,ISNUMBER(SEARCH("TPCAR",[1]OUT_TransportEnergyCons!$C$3:$C$1000))*1,[1]OUT_TransportEnergyCons!F$3:F$1000)</f>
        <v>2.8065910516496206</v>
      </c>
      <c r="I1251" s="1" cm="1">
        <f t="array" ref="I1251">SUMPRODUCT(("T_C-ICE-DSL-S3"=[1]OUT_TransportEnergyCons!$A$3:$A$1000)*1,("var_fout"=[1]OUT_TransportEnergyCons!$B$3:$B$1000)*1,ISNUMBER(SEARCH("TPCAR",[1]OUT_TransportEnergyCons!$C$3:$C$1000))*1,[1]OUT_TransportEnergyCons!G$3:G$1000)</f>
        <v>2.1806657158146301</v>
      </c>
      <c r="J1251" s="1" cm="1">
        <f t="array" ref="J1251">SUMPRODUCT(("T_C-ICE-DSL-S3"=[1]OUT_TransportEnergyCons!$A$3:$A$1000)*1,("var_fout"=[1]OUT_TransportEnergyCons!$B$3:$B$1000)*1,ISNUMBER(SEARCH("TPCAR",[1]OUT_TransportEnergyCons!$C$3:$C$1000))*1,[1]OUT_TransportEnergyCons!H$3:H$1000)</f>
        <v>5.5679399105728582E-5</v>
      </c>
      <c r="K1251" s="1" cm="1">
        <f t="array" ref="K1251">SUMPRODUCT(("T_C-ICE-DSL-S3"=[1]OUT_TransportEnergyCons!$A$3:$A$1000)*1,("var_fout"=[1]OUT_TransportEnergyCons!$B$3:$B$1000)*1,ISNUMBER(SEARCH("TPCAR",[1]OUT_TransportEnergyCons!$C$3:$C$1000))*1,[1]OUT_TransportEnergyCons!I$3:I$1000)</f>
        <v>0</v>
      </c>
    </row>
    <row r="1252" spans="2:11" x14ac:dyDescent="0.35">
      <c r="B1252" s="5" t="str">
        <f t="shared" si="814"/>
        <v>SPS1</v>
      </c>
      <c r="C1252" s="5" t="str">
        <f t="shared" si="815"/>
        <v>CH</v>
      </c>
      <c r="D1252" t="s">
        <v>1172</v>
      </c>
      <c r="E1252" t="str">
        <f t="shared" si="813"/>
        <v>billion km/yr.</v>
      </c>
      <c r="F1252" s="1" cm="1">
        <f t="array" ref="F1252">SUMPRODUCT(("T_C-ICE-DSL-S4"=[1]OUT_TransportEnergyCons!$A$3:$A$1000)*1,("var_fout"=[1]OUT_TransportEnergyCons!$B$3:$B$1000)*1,ISNUMBER(SEARCH("TPCAR",[1]OUT_TransportEnergyCons!$C$3:$C$1000))*1,[1]OUT_TransportEnergyCons!D$3:D$1000)</f>
        <v>0.90294340018518437</v>
      </c>
      <c r="G1252" s="1" cm="1">
        <f t="array" ref="G1252">SUMPRODUCT(("T_C-ICE-DSL-S4"=[1]OUT_TransportEnergyCons!$A$3:$A$1000)*1,("var_fout"=[1]OUT_TransportEnergyCons!$B$3:$B$1000)*1,ISNUMBER(SEARCH("TPCAR",[1]OUT_TransportEnergyCons!$C$3:$C$1000))*1,[1]OUT_TransportEnergyCons!E$3:E$1000)</f>
        <v>1.0075623195228274</v>
      </c>
      <c r="H1252" s="1" cm="1">
        <f t="array" ref="H1252">SUMPRODUCT(("T_C-ICE-DSL-S4"=[1]OUT_TransportEnergyCons!$A$3:$A$1000)*1,("var_fout"=[1]OUT_TransportEnergyCons!$B$3:$B$1000)*1,ISNUMBER(SEARCH("TPCAR",[1]OUT_TransportEnergyCons!$C$3:$C$1000))*1,[1]OUT_TransportEnergyCons!F$3:F$1000)</f>
        <v>0.89757758090203821</v>
      </c>
      <c r="I1252" s="1" cm="1">
        <f t="array" ref="I1252">SUMPRODUCT(("T_C-ICE-DSL-S4"=[1]OUT_TransportEnergyCons!$A$3:$A$1000)*1,("var_fout"=[1]OUT_TransportEnergyCons!$B$3:$B$1000)*1,ISNUMBER(SEARCH("TPCAR",[1]OUT_TransportEnergyCons!$C$3:$C$1000))*1,[1]OUT_TransportEnergyCons!G$3:G$1000)</f>
        <v>0.77489892953448569</v>
      </c>
      <c r="J1252" s="1" cm="1">
        <f t="array" ref="J1252">SUMPRODUCT(("T_C-ICE-DSL-S4"=[1]OUT_TransportEnergyCons!$A$3:$A$1000)*1,("var_fout"=[1]OUT_TransportEnergyCons!$B$3:$B$1000)*1,ISNUMBER(SEARCH("TPCAR",[1]OUT_TransportEnergyCons!$C$3:$C$1000))*1,[1]OUT_TransportEnergyCons!H$3:H$1000)</f>
        <v>3.2602774947594428E-5</v>
      </c>
      <c r="K1252" s="1" cm="1">
        <f t="array" ref="K1252">SUMPRODUCT(("T_C-ICE-DSL-S4"=[1]OUT_TransportEnergyCons!$A$3:$A$1000)*1,("var_fout"=[1]OUT_TransportEnergyCons!$B$3:$B$1000)*1,ISNUMBER(SEARCH("TPCAR",[1]OUT_TransportEnergyCons!$C$3:$C$1000))*1,[1]OUT_TransportEnergyCons!I$3:I$1000)</f>
        <v>0</v>
      </c>
    </row>
    <row r="1253" spans="2:11" x14ac:dyDescent="0.35">
      <c r="B1253" s="5" t="str">
        <f t="shared" si="814"/>
        <v>SPS1</v>
      </c>
      <c r="C1253" s="5" t="str">
        <f t="shared" si="815"/>
        <v>CH</v>
      </c>
      <c r="D1253" t="s">
        <v>1173</v>
      </c>
      <c r="E1253" t="str">
        <f t="shared" si="813"/>
        <v>billion km/yr.</v>
      </c>
      <c r="F1253" s="1" cm="1">
        <f t="array" ref="F1253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3" s="1" cm="1">
        <f t="array" ref="G1253">SUMPRODUCT(("T_C-MHY-DSL-S1"=[1]OUT_TransportEnergyCons!$A$3:$A$1000)*1,("var_fout"=[1]OUT_TransportEnergyCons!$B$3:$B$1000)*1,ISNUMBER(SEARCH("TPCAR",[1]OUT_TransportEnergyCons!$C$3:$C$1000))*1,[1]OUT_TransportEnergyCons!E$3:E$1000)</f>
        <v>1.0013168706707476E-4</v>
      </c>
      <c r="H1253" s="1" cm="1">
        <f t="array" ref="H1253">SUMPRODUCT(("T_C-MHY-DSL-S1"=[1]OUT_TransportEnergyCons!$A$3:$A$1000)*1,("var_fout"=[1]OUT_TransportEnergyCons!$B$3:$B$1000)*1,ISNUMBER(SEARCH("TPCAR",[1]OUT_TransportEnergyCons!$C$3:$C$1000))*1,[1]OUT_TransportEnergyCons!F$3:F$1000)</f>
        <v>3.86505886755279E-4</v>
      </c>
      <c r="I1253" s="1" cm="1">
        <f t="array" ref="I1253">SUMPRODUCT(("T_C-MHY-DSL-S1"=[1]OUT_TransportEnergyCons!$A$3:$A$1000)*1,("var_fout"=[1]OUT_TransportEnergyCons!$B$3:$B$1000)*1,ISNUMBER(SEARCH("TPCAR",[1]OUT_TransportEnergyCons!$C$3:$C$1000))*1,[1]OUT_TransportEnergyCons!G$3:G$1000)</f>
        <v>4.856562004853487E-4</v>
      </c>
      <c r="J1253" s="1" cm="1">
        <f t="array" ref="J1253">SUMPRODUCT(("T_C-MHY-DSL-S1"=[1]OUT_TransportEnergyCons!$A$3:$A$1000)*1,("var_fout"=[1]OUT_TransportEnergyCons!$B$3:$B$1000)*1,ISNUMBER(SEARCH("TPCAR",[1]OUT_TransportEnergyCons!$C$3:$C$1000))*1,[1]OUT_TransportEnergyCons!H$3:H$1000)</f>
        <v>9.3569972630497475E-5</v>
      </c>
      <c r="K1253" s="1" cm="1">
        <f t="array" ref="K1253">SUMPRODUCT(("T_C-MHY-DSL-S1"=[1]OUT_TransportEnergyCons!$A$3:$A$1000)*1,("var_fout"=[1]OUT_TransportEnergyCons!$B$3:$B$1000)*1,ISNUMBER(SEARCH("TPCAR",[1]OUT_TransportEnergyCons!$C$3:$C$1000))*1,[1]OUT_TransportEnergyCons!I$3:I$1000)</f>
        <v>0</v>
      </c>
    </row>
    <row r="1254" spans="2:11" x14ac:dyDescent="0.35">
      <c r="B1254" s="5" t="str">
        <f t="shared" si="814"/>
        <v>SPS1</v>
      </c>
      <c r="C1254" s="5" t="str">
        <f t="shared" si="815"/>
        <v>CH</v>
      </c>
      <c r="D1254" t="s">
        <v>1174</v>
      </c>
      <c r="E1254" t="str">
        <f t="shared" si="813"/>
        <v>billion km/yr.</v>
      </c>
      <c r="F1254" s="1" cm="1">
        <f t="array" ref="F1254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4" s="1" cm="1">
        <f t="array" ref="G1254">SUMPRODUCT(("T_C-MHY-DSL-S2"=[1]OUT_TransportEnergyCons!$A$3:$A$1000)*1,("var_fout"=[1]OUT_TransportEnergyCons!$B$3:$B$1000)*1,ISNUMBER(SEARCH("TPCAR",[1]OUT_TransportEnergyCons!$C$3:$C$1000))*1,[1]OUT_TransportEnergyCons!E$3:E$1000)</f>
        <v>6.5112908010925871E-5</v>
      </c>
      <c r="H1254" s="1" cm="1">
        <f t="array" ref="H1254">SUMPRODUCT(("T_C-MHY-DSL-S2"=[1]OUT_TransportEnergyCons!$A$3:$A$1000)*1,("var_fout"=[1]OUT_TransportEnergyCons!$B$3:$B$1000)*1,ISNUMBER(SEARCH("TPCAR",[1]OUT_TransportEnergyCons!$C$3:$C$1000))*1,[1]OUT_TransportEnergyCons!F$3:F$1000)</f>
        <v>3.1149263104616212E-4</v>
      </c>
      <c r="I1254" s="1" cm="1">
        <f t="array" ref="I1254">SUMPRODUCT(("T_C-MHY-DSL-S2"=[1]OUT_TransportEnergyCons!$A$3:$A$1000)*1,("var_fout"=[1]OUT_TransportEnergyCons!$B$3:$B$1000)*1,ISNUMBER(SEARCH("TPCAR",[1]OUT_TransportEnergyCons!$C$3:$C$1000))*1,[1]OUT_TransportEnergyCons!G$3:G$1000)</f>
        <v>4.452331677107567E-4</v>
      </c>
      <c r="J1254" s="1" cm="1">
        <f t="array" ref="J1254">SUMPRODUCT(("T_C-MHY-DSL-S2"=[1]OUT_TransportEnergyCons!$A$3:$A$1000)*1,("var_fout"=[1]OUT_TransportEnergyCons!$B$3:$B$1000)*1,ISNUMBER(SEARCH("TPCAR",[1]OUT_TransportEnergyCons!$C$3:$C$1000))*1,[1]OUT_TransportEnergyCons!H$3:H$1000)</f>
        <v>8.5880232207606385E-5</v>
      </c>
      <c r="K1254" s="1" cm="1">
        <f t="array" ref="K1254">SUMPRODUCT(("T_C-MHY-DSL-S2"=[1]OUT_TransportEnergyCons!$A$3:$A$1000)*1,("var_fout"=[1]OUT_TransportEnergyCons!$B$3:$B$1000)*1,ISNUMBER(SEARCH("TPCAR",[1]OUT_TransportEnergyCons!$C$3:$C$1000))*1,[1]OUT_TransportEnergyCons!I$3:I$1000)</f>
        <v>0</v>
      </c>
    </row>
    <row r="1255" spans="2:11" x14ac:dyDescent="0.35">
      <c r="B1255" s="5" t="str">
        <f t="shared" si="814"/>
        <v>SPS1</v>
      </c>
      <c r="C1255" s="5" t="str">
        <f t="shared" si="815"/>
        <v>CH</v>
      </c>
      <c r="D1255" t="s">
        <v>1175</v>
      </c>
      <c r="E1255" t="str">
        <f t="shared" si="813"/>
        <v>billion km/yr.</v>
      </c>
      <c r="F1255" s="1" cm="1">
        <f t="array" ref="F1255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SUMPRODUCT(("T_C-MHY-DSL-S3"=[1]OUT_TransportEnergyCons!$A$3:$A$1000)*1,("var_fout"=[1]OUT_TransportEnergyCons!$B$3:$B$1000)*1,ISNUMBER(SEARCH("TPCAR",[1]OUT_TransportEnergyCons!$C$3:$C$1000))*1,[1]OUT_TransportEnergyCons!E$3:E$1000)</f>
        <v>8.1942473291896474E-5</v>
      </c>
      <c r="H1255" s="1" cm="1">
        <f t="array" ref="H1255">SUMPRODUCT(("T_C-MHY-DSL-S3"=[1]OUT_TransportEnergyCons!$A$3:$A$1000)*1,("var_fout"=[1]OUT_TransportEnergyCons!$B$3:$B$1000)*1,ISNUMBER(SEARCH("TPCAR",[1]OUT_TransportEnergyCons!$C$3:$C$1000))*1,[1]OUT_TransportEnergyCons!F$3:F$1000)</f>
        <v>3.0330216363180047E-4</v>
      </c>
      <c r="I1255" s="1" cm="1">
        <f t="array" ref="I1255">SUMPRODUCT(("T_C-MHY-DSL-S3"=[1]OUT_TransportEnergyCons!$A$3:$A$1000)*1,("var_fout"=[1]OUT_TransportEnergyCons!$B$3:$B$1000)*1,ISNUMBER(SEARCH("TPCAR",[1]OUT_TransportEnergyCons!$C$3:$C$1000))*1,[1]OUT_TransportEnergyCons!G$3:G$1000)</f>
        <v>3.9854704877383379E-4</v>
      </c>
      <c r="J1255" s="1" cm="1">
        <f t="array" ref="J1255">SUMPRODUCT(("T_C-MHY-DSL-S3"=[1]OUT_TransportEnergyCons!$A$3:$A$1000)*1,("var_fout"=[1]OUT_TransportEnergyCons!$B$3:$B$1000)*1,ISNUMBER(SEARCH("TPCAR",[1]OUT_TransportEnergyCons!$C$3:$C$1000))*1,[1]OUT_TransportEnergyCons!H$3:H$1000)</f>
        <v>7.0347941954721413E-5</v>
      </c>
      <c r="K1255" s="1" cm="1">
        <f t="array" ref="K1255">SUMPRODUCT(("T_C-MHY-DSL-S3"=[1]OUT_TransportEnergyCons!$A$3:$A$1000)*1,("var_fout"=[1]OUT_TransportEnergyCons!$B$3:$B$1000)*1,ISNUMBER(SEARCH("TPCAR",[1]OUT_TransportEnergyCons!$C$3:$C$1000))*1,[1]OUT_TransportEnergyCons!I$3:I$1000)</f>
        <v>0</v>
      </c>
    </row>
    <row r="1256" spans="2:11" x14ac:dyDescent="0.35">
      <c r="B1256" s="5" t="str">
        <f t="shared" si="814"/>
        <v>SPS1</v>
      </c>
      <c r="C1256" s="5" t="str">
        <f t="shared" si="815"/>
        <v>CH</v>
      </c>
      <c r="D1256" t="s">
        <v>1176</v>
      </c>
      <c r="E1256" t="str">
        <f t="shared" si="813"/>
        <v>billion km/yr.</v>
      </c>
      <c r="F1256" s="1" cm="1">
        <f t="array" ref="F1256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SUMPRODUCT(("T_C-MHY-DSL-S4"=[1]OUT_TransportEnergyCons!$A$3:$A$1000)*1,("var_fout"=[1]OUT_TransportEnergyCons!$B$3:$B$1000)*1,ISNUMBER(SEARCH("TPCAR",[1]OUT_TransportEnergyCons!$C$3:$C$1000))*1,[1]OUT_TransportEnergyCons!E$3:E$1000)</f>
        <v>5.3580663945003243E-5</v>
      </c>
      <c r="H1256" s="1" cm="1">
        <f t="array" ref="H1256">SUMPRODUCT(("T_C-MHY-DSL-S4"=[1]OUT_TransportEnergyCons!$A$3:$A$1000)*1,("var_fout"=[1]OUT_TransportEnergyCons!$B$3:$B$1000)*1,ISNUMBER(SEARCH("TPCAR",[1]OUT_TransportEnergyCons!$C$3:$C$1000))*1,[1]OUT_TransportEnergyCons!F$3:F$1000)</f>
        <v>1.506463283091508E-4</v>
      </c>
      <c r="I1256" s="1" cm="1">
        <f t="array" ref="I1256">SUMPRODUCT(("T_C-MHY-DSL-S4"=[1]OUT_TransportEnergyCons!$A$3:$A$1000)*1,("var_fout"=[1]OUT_TransportEnergyCons!$B$3:$B$1000)*1,ISNUMBER(SEARCH("TPCAR",[1]OUT_TransportEnergyCons!$C$3:$C$1000))*1,[1]OUT_TransportEnergyCons!G$3:G$1000)</f>
        <v>2.0987209772300484E-4</v>
      </c>
      <c r="J1256" s="1" cm="1">
        <f t="array" ref="J1256">SUMPRODUCT(("T_C-MHY-DSL-S4"=[1]OUT_TransportEnergyCons!$A$3:$A$1000)*1,("var_fout"=[1]OUT_TransportEnergyCons!$B$3:$B$1000)*1,ISNUMBER(SEARCH("TPCAR",[1]OUT_TransportEnergyCons!$C$3:$C$1000))*1,[1]OUT_TransportEnergyCons!H$3:H$1000)</f>
        <v>3.8980491399964871E-5</v>
      </c>
      <c r="K1256" s="1" cm="1">
        <f t="array" ref="K1256">SUMPRODUCT(("T_C-MHY-DSL-S4"=[1]OUT_TransportEnergyCons!$A$3:$A$1000)*1,("var_fout"=[1]OUT_TransportEnergyCons!$B$3:$B$1000)*1,ISNUMBER(SEARCH("TPCAR",[1]OUT_TransportEnergyCons!$C$3:$C$1000))*1,[1]OUT_TransportEnergyCons!I$3:I$1000)</f>
        <v>0</v>
      </c>
    </row>
    <row r="1257" spans="2:11" x14ac:dyDescent="0.35">
      <c r="B1257" s="5" t="str">
        <f t="shared" si="814"/>
        <v>SPS1</v>
      </c>
      <c r="C1257" s="5" t="str">
        <f t="shared" si="815"/>
        <v>CH</v>
      </c>
      <c r="D1257" t="s">
        <v>1177</v>
      </c>
      <c r="E1257" t="str">
        <f t="shared" si="813"/>
        <v>billion km/yr.</v>
      </c>
      <c r="F1257" s="1" cm="1">
        <f t="array" ref="F1257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7" s="1" cm="1">
        <f t="array" ref="H1257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7" s="1" cm="1">
        <f t="array" ref="I1257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7" s="1" cm="1">
        <f t="array" ref="J1257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7" s="1" cm="1">
        <f t="array" ref="K1257">SUMPRODUCT(("T_C-ICENGAEXT"=[1]OUT_TransportEnergyCons!$A$3:$A$1000)*1,("var_fout"=[1]OUT_TransportEnergyCons!$B$3:$B$1000)*1,ISNUMBER(SEARCH("TPCAR",[1]OUT_TransportEnergyCons!$C$3:$C$1000))*1,[1]OUT_TransportEnergyCons!I$3:I$1000)</f>
        <v>0</v>
      </c>
    </row>
    <row r="1258" spans="2:11" x14ac:dyDescent="0.35">
      <c r="B1258" s="5" t="str">
        <f t="shared" si="814"/>
        <v>SPS1</v>
      </c>
      <c r="C1258" s="5" t="str">
        <f t="shared" si="815"/>
        <v>CH</v>
      </c>
      <c r="D1258" t="s">
        <v>1178</v>
      </c>
      <c r="E1258" t="str">
        <f t="shared" si="813"/>
        <v>billion km/yr.</v>
      </c>
      <c r="F1258" s="1" cm="1">
        <f t="array" ref="F1258">SUMPRODUCT(("T_C-ICE-NGA-S1"=[1]OUT_TransportEnergyCons!$A$3:$A$1000)*1,("var_fout"=[1]OUT_TransportEnergyCons!$B$3:$B$1000)*1,ISNUMBER(SEARCH("TPCAR",[1]OUT_TransportEnergyCons!$C$3:$C$1000))*1,[1]OUT_TransportEnergyCons!D$3:D$1000)</f>
        <v>2.2548698345581058E-3</v>
      </c>
      <c r="G1258" s="1" cm="1">
        <f t="array" ref="G1258">SUMPRODUCT(("T_C-ICE-NGA-S1"=[1]OUT_TransportEnergyCons!$A$3:$A$1000)*1,("var_fout"=[1]OUT_TransportEnergyCons!$B$3:$B$1000)*1,ISNUMBER(SEARCH("TPCAR",[1]OUT_TransportEnergyCons!$C$3:$C$1000))*1,[1]OUT_TransportEnergyCons!E$3:E$1000)</f>
        <v>1.2508766669798806E-3</v>
      </c>
      <c r="H1258" s="1" cm="1">
        <f t="array" ref="H1258">SUMPRODUCT(("T_C-ICE-NGA-S1"=[1]OUT_TransportEnergyCons!$A$3:$A$1000)*1,("var_fout"=[1]OUT_TransportEnergyCons!$B$3:$B$1000)*1,ISNUMBER(SEARCH("TPCAR",[1]OUT_TransportEnergyCons!$C$3:$C$1000))*1,[1]OUT_TransportEnergyCons!F$3:F$1000)</f>
        <v>1.1474396148931853E-3</v>
      </c>
      <c r="I1258" s="1" cm="1">
        <f t="array" ref="I1258">SUMPRODUCT(("T_C-ICE-NGA-S1"=[1]OUT_TransportEnergyCons!$A$3:$A$1000)*1,("var_fout"=[1]OUT_TransportEnergyCons!$B$3:$B$1000)*1,ISNUMBER(SEARCH("TPCAR",[1]OUT_TransportEnergyCons!$C$3:$C$1000))*1,[1]OUT_TransportEnergyCons!G$3:G$1000)</f>
        <v>8.6033118370879309E-5</v>
      </c>
      <c r="J1258" s="1" cm="1">
        <f t="array" ref="J1258">SUMPRODUCT(("T_C-ICE-NGA-S1"=[1]OUT_TransportEnergyCons!$A$3:$A$1000)*1,("var_fout"=[1]OUT_TransportEnergyCons!$B$3:$B$1000)*1,ISNUMBER(SEARCH("TPCAR",[1]OUT_TransportEnergyCons!$C$3:$C$1000))*1,[1]OUT_TransportEnergyCons!H$3:H$1000)</f>
        <v>1.5016499357665459E-6</v>
      </c>
      <c r="K1258" s="1" cm="1">
        <f t="array" ref="K1258">SUMPRODUCT(("T_C-ICE-NGA-S1"=[1]OUT_TransportEnergyCons!$A$3:$A$1000)*1,("var_fout"=[1]OUT_TransportEnergyCons!$B$3:$B$1000)*1,ISNUMBER(SEARCH("TPCAR",[1]OUT_TransportEnergyCons!$C$3:$C$1000))*1,[1]OUT_TransportEnergyCons!I$3:I$1000)</f>
        <v>0</v>
      </c>
    </row>
    <row r="1259" spans="2:11" x14ac:dyDescent="0.35">
      <c r="B1259" s="5" t="str">
        <f t="shared" si="814"/>
        <v>SPS1</v>
      </c>
      <c r="C1259" s="5" t="str">
        <f t="shared" si="815"/>
        <v>CH</v>
      </c>
      <c r="D1259" t="s">
        <v>1179</v>
      </c>
      <c r="E1259" t="str">
        <f t="shared" si="813"/>
        <v>billion km/yr.</v>
      </c>
      <c r="F1259" s="1" cm="1">
        <f t="array" ref="F1259">SUMPRODUCT(("T_C-ICE-NGA-S2"=[1]OUT_TransportEnergyCons!$A$3:$A$1000)*1,("var_fout"=[1]OUT_TransportEnergyCons!$B$3:$B$1000)*1,ISNUMBER(SEARCH("TPCAR",[1]OUT_TransportEnergyCons!$C$3:$C$1000))*1,[1]OUT_TransportEnergyCons!D$3:D$1000)</f>
        <v>3.5358675591744972E-2</v>
      </c>
      <c r="G1259" s="1" cm="1">
        <f t="array" ref="G1259">SUMPRODUCT(("T_C-ICE-NGA-S2"=[1]OUT_TransportEnergyCons!$A$3:$A$1000)*1,("var_fout"=[1]OUT_TransportEnergyCons!$B$3:$B$1000)*1,ISNUMBER(SEARCH("TPCAR",[1]OUT_TransportEnergyCons!$C$3:$C$1000))*1,[1]OUT_TransportEnergyCons!E$3:E$1000)</f>
        <v>3.5284547465067782E-2</v>
      </c>
      <c r="H1259" s="1" cm="1">
        <f t="array" ref="H1259">SUMPRODUCT(("T_C-ICE-NGA-S2"=[1]OUT_TransportEnergyCons!$A$3:$A$1000)*1,("var_fout"=[1]OUT_TransportEnergyCons!$B$3:$B$1000)*1,ISNUMBER(SEARCH("TPCAR",[1]OUT_TransportEnergyCons!$C$3:$C$1000))*1,[1]OUT_TransportEnergyCons!F$3:F$1000)</f>
        <v>3.694985732717445E-2</v>
      </c>
      <c r="I1259" s="1" cm="1">
        <f t="array" ref="I1259">SUMPRODUCT(("T_C-ICE-NGA-S2"=[1]OUT_TransportEnergyCons!$A$3:$A$1000)*1,("var_fout"=[1]OUT_TransportEnergyCons!$B$3:$B$1000)*1,ISNUMBER(SEARCH("TPCAR",[1]OUT_TransportEnergyCons!$C$3:$C$1000))*1,[1]OUT_TransportEnergyCons!G$3:G$1000)</f>
        <v>8.0426467080052199E-5</v>
      </c>
      <c r="J1259" s="1" cm="1">
        <f t="array" ref="J1259">SUMPRODUCT(("T_C-ICE-NGA-S2"=[1]OUT_TransportEnergyCons!$A$3:$A$1000)*1,("var_fout"=[1]OUT_TransportEnergyCons!$B$3:$B$1000)*1,ISNUMBER(SEARCH("TPCAR",[1]OUT_TransportEnergyCons!$C$3:$C$1000))*1,[1]OUT_TransportEnergyCons!H$3:H$1000)</f>
        <v>2.9805945442346294E-6</v>
      </c>
      <c r="K1259" s="1" cm="1">
        <f t="array" ref="K1259">SUMPRODUCT(("T_C-ICE-NGA-S2"=[1]OUT_TransportEnergyCons!$A$3:$A$1000)*1,("var_fout"=[1]OUT_TransportEnergyCons!$B$3:$B$1000)*1,ISNUMBER(SEARCH("TPCAR",[1]OUT_TransportEnergyCons!$C$3:$C$1000))*1,[1]OUT_TransportEnergyCons!I$3:I$1000)</f>
        <v>0</v>
      </c>
    </row>
    <row r="1260" spans="2:11" x14ac:dyDescent="0.35">
      <c r="B1260" s="5" t="str">
        <f t="shared" si="814"/>
        <v>SPS1</v>
      </c>
      <c r="C1260" s="5" t="str">
        <f t="shared" si="815"/>
        <v>CH</v>
      </c>
      <c r="D1260" t="s">
        <v>1180</v>
      </c>
      <c r="E1260" t="str">
        <f t="shared" si="813"/>
        <v>billion km/yr.</v>
      </c>
      <c r="F1260" s="1" cm="1">
        <f t="array" ref="F1260">SUMPRODUCT(("T_C-ICE-NGA-S3"=[1]OUT_TransportEnergyCons!$A$3:$A$1000)*1,("var_fout"=[1]OUT_TransportEnergyCons!$B$3:$B$1000)*1,ISNUMBER(SEARCH("TPCAR",[1]OUT_TransportEnergyCons!$C$3:$C$1000))*1,[1]OUT_TransportEnergyCons!D$3:D$1000)</f>
        <v>2.0625175980467578E-3</v>
      </c>
      <c r="G1260" s="1" cm="1">
        <f t="array" ref="G1260">SUMPRODUCT(("T_C-ICE-NGA-S3"=[1]OUT_TransportEnergyCons!$A$3:$A$1000)*1,("var_fout"=[1]OUT_TransportEnergyCons!$B$3:$B$1000)*1,ISNUMBER(SEARCH("TPCAR",[1]OUT_TransportEnergyCons!$C$3:$C$1000))*1,[1]OUT_TransportEnergyCons!E$3:E$1000)</f>
        <v>2.2481780301297932E-3</v>
      </c>
      <c r="H1260" s="1" cm="1">
        <f t="array" ref="H1260">SUMPRODUCT(("T_C-ICE-NGA-S3"=[1]OUT_TransportEnergyCons!$A$3:$A$1000)*1,("var_fout"=[1]OUT_TransportEnergyCons!$B$3:$B$1000)*1,ISNUMBER(SEARCH("TPCAR",[1]OUT_TransportEnergyCons!$C$3:$C$1000))*1,[1]OUT_TransportEnergyCons!F$3:F$1000)</f>
        <v>2.295259771704142E-3</v>
      </c>
      <c r="I1260" s="1" cm="1">
        <f t="array" ref="I1260">SUMPRODUCT(("T_C-ICE-NGA-S3"=[1]OUT_TransportEnergyCons!$A$3:$A$1000)*1,("var_fout"=[1]OUT_TransportEnergyCons!$B$3:$B$1000)*1,ISNUMBER(SEARCH("TPCAR",[1]OUT_TransportEnergyCons!$C$3:$C$1000))*1,[1]OUT_TransportEnergyCons!G$3:G$1000)</f>
        <v>2.4743135021765386E-4</v>
      </c>
      <c r="J1260" s="1" cm="1">
        <f t="array" ref="J1260">SUMPRODUCT(("T_C-ICE-NGA-S3"=[1]OUT_TransportEnergyCons!$A$3:$A$1000)*1,("var_fout"=[1]OUT_TransportEnergyCons!$B$3:$B$1000)*1,ISNUMBER(SEARCH("TPCAR",[1]OUT_TransportEnergyCons!$C$3:$C$1000))*1,[1]OUT_TransportEnergyCons!H$3:H$1000)</f>
        <v>3.9700576696216341E-6</v>
      </c>
      <c r="K1260" s="1" cm="1">
        <f t="array" ref="K1260">SUMPRODUCT(("T_C-ICE-NGA-S3"=[1]OUT_TransportEnergyCons!$A$3:$A$1000)*1,("var_fout"=[1]OUT_TransportEnergyCons!$B$3:$B$1000)*1,ISNUMBER(SEARCH("TPCAR",[1]OUT_TransportEnergyCons!$C$3:$C$1000))*1,[1]OUT_TransportEnergyCons!I$3:I$1000)</f>
        <v>0</v>
      </c>
    </row>
    <row r="1261" spans="2:11" x14ac:dyDescent="0.35">
      <c r="B1261" s="5" t="str">
        <f t="shared" si="814"/>
        <v>SPS1</v>
      </c>
      <c r="C1261" s="5" t="str">
        <f t="shared" si="815"/>
        <v>CH</v>
      </c>
      <c r="D1261" t="s">
        <v>1181</v>
      </c>
      <c r="E1261" t="str">
        <f t="shared" si="813"/>
        <v>billion km/yr.</v>
      </c>
      <c r="F1261" s="1" cm="1">
        <f t="array" ref="F1261">SUMPRODUCT(("T_C-ICE-NGA-S4"=[1]OUT_TransportEnergyCons!$A$3:$A$1000)*1,("var_fout"=[1]OUT_TransportEnergyCons!$B$3:$B$1000)*1,ISNUMBER(SEARCH("TPCAR",[1]OUT_TransportEnergyCons!$C$3:$C$1000))*1,[1]OUT_TransportEnergyCons!D$3:D$1000)</f>
        <v>3.299699340101539E-2</v>
      </c>
      <c r="G1261" s="1" cm="1">
        <f t="array" ref="G1261">SUMPRODUCT(("T_C-ICE-NGA-S4"=[1]OUT_TransportEnergyCons!$A$3:$A$1000)*1,("var_fout"=[1]OUT_TransportEnergyCons!$B$3:$B$1000)*1,ISNUMBER(SEARCH("TPCAR",[1]OUT_TransportEnergyCons!$C$3:$C$1000))*1,[1]OUT_TransportEnergyCons!E$3:E$1000)</f>
        <v>3.2180645839626272E-2</v>
      </c>
      <c r="H1261" s="1" cm="1">
        <f t="array" ref="H1261">SUMPRODUCT(("T_C-ICE-NGA-S4"=[1]OUT_TransportEnergyCons!$A$3:$A$1000)*1,("var_fout"=[1]OUT_TransportEnergyCons!$B$3:$B$1000)*1,ISNUMBER(SEARCH("TPCAR",[1]OUT_TransportEnergyCons!$C$3:$C$1000))*1,[1]OUT_TransportEnergyCons!F$3:F$1000)</f>
        <v>2.9940181569777846E-2</v>
      </c>
      <c r="I1261" s="1" cm="1">
        <f t="array" ref="I1261">SUMPRODUCT(("T_C-ICE-NGA-S4"=[1]OUT_TransportEnergyCons!$A$3:$A$1000)*1,("var_fout"=[1]OUT_TransportEnergyCons!$B$3:$B$1000)*1,ISNUMBER(SEARCH("TPCAR",[1]OUT_TransportEnergyCons!$C$3:$C$1000))*1,[1]OUT_TransportEnergyCons!G$3:G$1000)</f>
        <v>5.0192671791195884E-5</v>
      </c>
      <c r="J1261" s="1" cm="1">
        <f t="array" ref="J1261">SUMPRODUCT(("T_C-ICE-NGA-S4"=[1]OUT_TransportEnergyCons!$A$3:$A$1000)*1,("var_fout"=[1]OUT_TransportEnergyCons!$B$3:$B$1000)*1,ISNUMBER(SEARCH("TPCAR",[1]OUT_TransportEnergyCons!$C$3:$C$1000))*1,[1]OUT_TransportEnergyCons!H$3:H$1000)</f>
        <v>3.3630140097952438E-6</v>
      </c>
      <c r="K1261" s="1" cm="1">
        <f t="array" ref="K1261">SUMPRODUCT(("T_C-ICE-NGA-S4"=[1]OUT_TransportEnergyCons!$A$3:$A$1000)*1,("var_fout"=[1]OUT_TransportEnergyCons!$B$3:$B$1000)*1,ISNUMBER(SEARCH("TPCAR",[1]OUT_TransportEnergyCons!$C$3:$C$1000))*1,[1]OUT_TransportEnergyCons!I$3:I$1000)</f>
        <v>0</v>
      </c>
    </row>
    <row r="1262" spans="2:11" x14ac:dyDescent="0.35">
      <c r="B1262" s="5" t="str">
        <f t="shared" si="814"/>
        <v>SPS1</v>
      </c>
      <c r="C1262" s="5" t="str">
        <f t="shared" si="815"/>
        <v>CH</v>
      </c>
      <c r="D1262" s="2" t="s">
        <v>1131</v>
      </c>
      <c r="E1262" s="2" t="s">
        <v>1230</v>
      </c>
      <c r="F1262" s="21" t="s">
        <v>292</v>
      </c>
      <c r="G1262" s="21" t="s">
        <v>292</v>
      </c>
      <c r="H1262" s="21" t="s">
        <v>292</v>
      </c>
      <c r="I1262" s="21" t="s">
        <v>292</v>
      </c>
      <c r="J1262" s="21" t="s">
        <v>292</v>
      </c>
      <c r="K1262" s="21" t="s">
        <v>292</v>
      </c>
    </row>
    <row r="1263" spans="2:11" x14ac:dyDescent="0.35">
      <c r="B1263" s="5" t="str">
        <f>B1262</f>
        <v>SPS1</v>
      </c>
      <c r="C1263" s="5" t="str">
        <f>C1262</f>
        <v>CH</v>
      </c>
      <c r="D1263" t="s">
        <v>1182</v>
      </c>
      <c r="E1263" t="str">
        <f>E1262</f>
        <v>km/MJ</v>
      </c>
      <c r="F1263" s="1">
        <f t="shared" ref="F1263:K1267" si="816">IFERROR(F1212/F1136,"-")</f>
        <v>0.88951199431361316</v>
      </c>
      <c r="G1263" s="1">
        <f t="shared" si="816"/>
        <v>0.95694536964701848</v>
      </c>
      <c r="H1263" s="1">
        <f t="shared" si="816"/>
        <v>1.0580954326471264</v>
      </c>
      <c r="I1263" s="1">
        <f t="shared" si="816"/>
        <v>1.2266788709806367</v>
      </c>
      <c r="J1263" s="1" t="str">
        <f t="shared" si="816"/>
        <v>-</v>
      </c>
      <c r="K1263" s="1" t="str">
        <f t="shared" si="816"/>
        <v>-</v>
      </c>
    </row>
    <row r="1264" spans="2:11" x14ac:dyDescent="0.35">
      <c r="B1264" s="5" t="str">
        <f t="shared" ref="B1264:B1312" si="817">B1263</f>
        <v>SPS1</v>
      </c>
      <c r="C1264" s="5" t="str">
        <f t="shared" ref="C1264:C1312" si="818">C1263</f>
        <v>CH</v>
      </c>
      <c r="D1264" t="s">
        <v>1183</v>
      </c>
      <c r="E1264" t="str">
        <f t="shared" ref="E1264:E1312" si="819">E1263</f>
        <v>km/MJ</v>
      </c>
      <c r="F1264" s="1">
        <f t="shared" si="816"/>
        <v>1.8116719735064502</v>
      </c>
      <c r="G1264" s="1">
        <f t="shared" si="816"/>
        <v>1.8116719735064499</v>
      </c>
      <c r="H1264" s="1">
        <f t="shared" si="816"/>
        <v>1.811671973506453</v>
      </c>
      <c r="I1264" s="1">
        <f t="shared" si="816"/>
        <v>1.8116719735064499</v>
      </c>
      <c r="J1264" s="1">
        <f t="shared" si="816"/>
        <v>1.9237504014852735</v>
      </c>
      <c r="K1264" s="1">
        <f t="shared" si="816"/>
        <v>2.1169775862194755</v>
      </c>
    </row>
    <row r="1265" spans="2:11" x14ac:dyDescent="0.35">
      <c r="B1265" s="5" t="str">
        <f t="shared" si="817"/>
        <v>SPS1</v>
      </c>
      <c r="C1265" s="5" t="str">
        <f t="shared" si="818"/>
        <v>CH</v>
      </c>
      <c r="D1265" t="s">
        <v>1184</v>
      </c>
      <c r="E1265" t="str">
        <f t="shared" si="819"/>
        <v>km/MJ</v>
      </c>
      <c r="F1265" s="1">
        <f t="shared" si="816"/>
        <v>1.4637982671179699</v>
      </c>
      <c r="G1265" s="1">
        <f t="shared" si="816"/>
        <v>1.4637982671179706</v>
      </c>
      <c r="H1265" s="1">
        <f t="shared" si="816"/>
        <v>1.463798267117969</v>
      </c>
      <c r="I1265" s="1">
        <f t="shared" si="816"/>
        <v>1.4637982671179697</v>
      </c>
      <c r="J1265" s="1">
        <f t="shared" si="816"/>
        <v>1.5561718510538556</v>
      </c>
      <c r="K1265" s="1">
        <f t="shared" si="816"/>
        <v>1.7175019082609062</v>
      </c>
    </row>
    <row r="1266" spans="2:11" x14ac:dyDescent="0.35">
      <c r="B1266" s="5" t="str">
        <f t="shared" si="817"/>
        <v>SPS1</v>
      </c>
      <c r="C1266" s="5" t="str">
        <f t="shared" si="818"/>
        <v>CH</v>
      </c>
      <c r="D1266" t="s">
        <v>1185</v>
      </c>
      <c r="E1266" t="str">
        <f t="shared" si="819"/>
        <v>km/MJ</v>
      </c>
      <c r="F1266" s="1">
        <f t="shared" si="816"/>
        <v>1.337452725149201</v>
      </c>
      <c r="G1266" s="1">
        <f t="shared" si="816"/>
        <v>1.3374527251491999</v>
      </c>
      <c r="H1266" s="1">
        <f t="shared" si="816"/>
        <v>1.3374527251491983</v>
      </c>
      <c r="I1266" s="1">
        <f t="shared" si="816"/>
        <v>1.3374527251492003</v>
      </c>
      <c r="J1266" s="1">
        <f t="shared" si="816"/>
        <v>1.4724499177223107</v>
      </c>
      <c r="K1266" s="1">
        <f t="shared" si="816"/>
        <v>1.6027444835608524</v>
      </c>
    </row>
    <row r="1267" spans="2:11" x14ac:dyDescent="0.35">
      <c r="B1267" s="5" t="str">
        <f t="shared" si="817"/>
        <v>SPS1</v>
      </c>
      <c r="C1267" s="5" t="str">
        <f t="shared" si="818"/>
        <v>CH</v>
      </c>
      <c r="D1267" t="s">
        <v>1186</v>
      </c>
      <c r="E1267" t="str">
        <f t="shared" si="819"/>
        <v>km/MJ</v>
      </c>
      <c r="F1267" s="1">
        <f t="shared" si="816"/>
        <v>1.2949729235430796</v>
      </c>
      <c r="G1267" s="1">
        <f t="shared" si="816"/>
        <v>1.2949729235430787</v>
      </c>
      <c r="H1267" s="1">
        <f t="shared" si="816"/>
        <v>1.2949729235430794</v>
      </c>
      <c r="I1267" s="1">
        <f t="shared" si="816"/>
        <v>1.2949729235430809</v>
      </c>
      <c r="J1267" s="1">
        <f t="shared" si="816"/>
        <v>1.3794271485135134</v>
      </c>
      <c r="K1267" s="1">
        <f t="shared" si="816"/>
        <v>1.5213005041930185</v>
      </c>
    </row>
    <row r="1268" spans="2:11" x14ac:dyDescent="0.35">
      <c r="B1268" s="5" t="str">
        <f t="shared" si="817"/>
        <v>SPS1</v>
      </c>
      <c r="C1268" s="5" t="str">
        <f t="shared" si="818"/>
        <v>CH</v>
      </c>
      <c r="D1268" t="s">
        <v>1187</v>
      </c>
      <c r="E1268" t="str">
        <f t="shared" si="819"/>
        <v>km/MJ</v>
      </c>
      <c r="F1268" s="1">
        <f t="shared" ref="F1268:K1271" si="820">IFERROR(F1217/SUM(F1141,F1174),"-")</f>
        <v>0.71131336622423513</v>
      </c>
      <c r="G1268" s="1">
        <f t="shared" si="820"/>
        <v>0.75995076181089161</v>
      </c>
      <c r="H1268" s="1">
        <f t="shared" si="820"/>
        <v>0.77101051524069319</v>
      </c>
      <c r="I1268" s="1">
        <f t="shared" si="820"/>
        <v>0.81023801369116888</v>
      </c>
      <c r="J1268" s="1">
        <f t="shared" si="820"/>
        <v>0.9066230013810711</v>
      </c>
      <c r="K1268" s="1">
        <f t="shared" si="820"/>
        <v>1.0920748454130202</v>
      </c>
    </row>
    <row r="1269" spans="2:11" x14ac:dyDescent="0.35">
      <c r="B1269" s="5" t="str">
        <f t="shared" si="817"/>
        <v>SPS1</v>
      </c>
      <c r="C1269" s="5" t="str">
        <f t="shared" si="818"/>
        <v>CH</v>
      </c>
      <c r="D1269" t="s">
        <v>1188</v>
      </c>
      <c r="E1269" t="str">
        <f t="shared" si="819"/>
        <v>km/MJ</v>
      </c>
      <c r="F1269" s="1">
        <f t="shared" si="820"/>
        <v>0.5920580935994495</v>
      </c>
      <c r="G1269" s="1">
        <f t="shared" si="820"/>
        <v>0.62859158865838394</v>
      </c>
      <c r="H1269" s="1">
        <f t="shared" si="820"/>
        <v>0.59939308141218806</v>
      </c>
      <c r="I1269" s="1">
        <f t="shared" si="820"/>
        <v>0.59343606789028269</v>
      </c>
      <c r="J1269" s="1">
        <f t="shared" si="820"/>
        <v>0.76670115196171296</v>
      </c>
      <c r="K1269" s="1">
        <f t="shared" si="820"/>
        <v>0.95895535536359655</v>
      </c>
    </row>
    <row r="1270" spans="2:11" x14ac:dyDescent="0.35">
      <c r="B1270" s="5" t="str">
        <f t="shared" si="817"/>
        <v>SPS1</v>
      </c>
      <c r="C1270" s="5" t="str">
        <f t="shared" si="818"/>
        <v>CH</v>
      </c>
      <c r="D1270" t="s">
        <v>1189</v>
      </c>
      <c r="E1270" t="str">
        <f t="shared" si="819"/>
        <v>km/MJ</v>
      </c>
      <c r="F1270" s="1">
        <f t="shared" si="820"/>
        <v>0.54553551205828443</v>
      </c>
      <c r="G1270" s="1">
        <f t="shared" si="820"/>
        <v>0.60404241194754604</v>
      </c>
      <c r="H1270" s="1">
        <f t="shared" si="820"/>
        <v>0.61793248256827693</v>
      </c>
      <c r="I1270" s="1">
        <f t="shared" si="820"/>
        <v>0.66531861315428686</v>
      </c>
      <c r="J1270" s="1">
        <f t="shared" si="820"/>
        <v>0.77220536233392201</v>
      </c>
      <c r="K1270" s="1">
        <f t="shared" si="820"/>
        <v>1.0555125974685764</v>
      </c>
    </row>
    <row r="1271" spans="2:11" x14ac:dyDescent="0.35">
      <c r="B1271" s="5" t="str">
        <f t="shared" si="817"/>
        <v>SPS1</v>
      </c>
      <c r="C1271" s="5" t="str">
        <f t="shared" si="818"/>
        <v>CH</v>
      </c>
      <c r="D1271" t="s">
        <v>1190</v>
      </c>
      <c r="E1271" t="str">
        <f t="shared" si="819"/>
        <v>km/MJ</v>
      </c>
      <c r="F1271" s="1">
        <f t="shared" si="820"/>
        <v>0.51975568473665856</v>
      </c>
      <c r="G1271" s="1">
        <f t="shared" si="820"/>
        <v>0.57146132854273413</v>
      </c>
      <c r="H1271" s="1">
        <f t="shared" si="820"/>
        <v>0.53210255477218926</v>
      </c>
      <c r="I1271" s="1">
        <f t="shared" si="820"/>
        <v>0.54183811856360375</v>
      </c>
      <c r="J1271" s="1">
        <f t="shared" si="820"/>
        <v>0.70563159422606836</v>
      </c>
      <c r="K1271" s="1">
        <f t="shared" si="820"/>
        <v>0.90805181997075191</v>
      </c>
    </row>
    <row r="1272" spans="2:11" x14ac:dyDescent="0.35">
      <c r="B1272" s="5" t="str">
        <f t="shared" si="817"/>
        <v>SPS1</v>
      </c>
      <c r="C1272" s="5" t="str">
        <f t="shared" si="818"/>
        <v>CH</v>
      </c>
      <c r="D1272" t="s">
        <v>1191</v>
      </c>
      <c r="E1272" t="str">
        <f t="shared" si="819"/>
        <v>km/MJ</v>
      </c>
      <c r="F1272" s="1">
        <f t="shared" ref="F1272:K1275" si="821">IFERROR(F1221/SUM(F1145,F1197),"-")</f>
        <v>0.72840569582556969</v>
      </c>
      <c r="G1272" s="1">
        <f t="shared" si="821"/>
        <v>0.76960949521037525</v>
      </c>
      <c r="H1272" s="1">
        <f t="shared" si="821"/>
        <v>0.78274886091657836</v>
      </c>
      <c r="I1272" s="1">
        <f t="shared" si="821"/>
        <v>0.82277767468380369</v>
      </c>
      <c r="J1272" s="1">
        <f t="shared" si="821"/>
        <v>0.92127238945441037</v>
      </c>
      <c r="K1272" s="1">
        <f t="shared" si="821"/>
        <v>1.1060958859340415</v>
      </c>
    </row>
    <row r="1273" spans="2:11" x14ac:dyDescent="0.35">
      <c r="B1273" s="5" t="str">
        <f t="shared" si="817"/>
        <v>SPS1</v>
      </c>
      <c r="C1273" s="5" t="str">
        <f t="shared" si="818"/>
        <v>CH</v>
      </c>
      <c r="D1273" t="s">
        <v>1192</v>
      </c>
      <c r="E1273" t="str">
        <f t="shared" si="819"/>
        <v>km/MJ</v>
      </c>
      <c r="F1273" s="1">
        <f t="shared" si="821"/>
        <v>0.32262062551479531</v>
      </c>
      <c r="G1273" s="1">
        <f t="shared" si="821"/>
        <v>0.63643638018420534</v>
      </c>
      <c r="H1273" s="1">
        <f t="shared" si="821"/>
        <v>0.64982602862859751</v>
      </c>
      <c r="I1273" s="1">
        <f t="shared" si="821"/>
        <v>0.63831936575360326</v>
      </c>
      <c r="J1273" s="1">
        <f t="shared" si="821"/>
        <v>0.77697972996592346</v>
      </c>
      <c r="K1273" s="1">
        <f t="shared" si="821"/>
        <v>0.9755920672633015</v>
      </c>
    </row>
    <row r="1274" spans="2:11" x14ac:dyDescent="0.35">
      <c r="B1274" s="5" t="str">
        <f t="shared" si="817"/>
        <v>SPS1</v>
      </c>
      <c r="C1274" s="5" t="str">
        <f t="shared" si="818"/>
        <v>CH</v>
      </c>
      <c r="D1274" t="s">
        <v>1193</v>
      </c>
      <c r="E1274" t="str">
        <f t="shared" si="819"/>
        <v>km/MJ</v>
      </c>
      <c r="F1274" s="1">
        <f t="shared" si="821"/>
        <v>0.54958849559476475</v>
      </c>
      <c r="G1274" s="1">
        <f t="shared" si="821"/>
        <v>0.61195611932725635</v>
      </c>
      <c r="H1274" s="1">
        <f t="shared" si="821"/>
        <v>0.62626338139174942</v>
      </c>
      <c r="I1274" s="1">
        <f t="shared" si="821"/>
        <v>0.67374014056260367</v>
      </c>
      <c r="J1274" s="1">
        <f t="shared" si="821"/>
        <v>0.7809073374635721</v>
      </c>
      <c r="K1274" s="1">
        <f t="shared" si="821"/>
        <v>1.0627450040894826</v>
      </c>
    </row>
    <row r="1275" spans="2:11" x14ac:dyDescent="0.35">
      <c r="B1275" s="5" t="str">
        <f t="shared" si="817"/>
        <v>SPS1</v>
      </c>
      <c r="C1275" s="5" t="str">
        <f t="shared" si="818"/>
        <v>CH</v>
      </c>
      <c r="D1275" t="s">
        <v>1194</v>
      </c>
      <c r="E1275" t="str">
        <f t="shared" si="819"/>
        <v>km/MJ</v>
      </c>
      <c r="F1275" s="1">
        <f t="shared" si="821"/>
        <v>0.52692751621679912</v>
      </c>
      <c r="G1275" s="1">
        <f t="shared" si="821"/>
        <v>0.57889754181462716</v>
      </c>
      <c r="H1275" s="1">
        <f t="shared" si="821"/>
        <v>0.54140285252087761</v>
      </c>
      <c r="I1275" s="1">
        <f t="shared" si="821"/>
        <v>0.53575485940596557</v>
      </c>
      <c r="J1275" s="1">
        <f t="shared" si="821"/>
        <v>0.71520087253031583</v>
      </c>
      <c r="K1275" s="1">
        <f t="shared" si="821"/>
        <v>0.92001280639797223</v>
      </c>
    </row>
    <row r="1276" spans="2:11" x14ac:dyDescent="0.35">
      <c r="B1276" s="5" t="str">
        <f t="shared" si="817"/>
        <v>SPS1</v>
      </c>
      <c r="C1276" s="5" t="str">
        <f t="shared" si="818"/>
        <v>CH</v>
      </c>
      <c r="D1276" t="s">
        <v>1195</v>
      </c>
      <c r="E1276" t="str">
        <f t="shared" si="819"/>
        <v>km/MJ</v>
      </c>
      <c r="F1276" s="1" t="str">
        <f>IFERROR(F1225/F1151,"-")</f>
        <v>-</v>
      </c>
      <c r="G1276" s="1">
        <f t="shared" ref="G1276:K1276" si="822">IFERROR(G1225/G1151,"-")</f>
        <v>1.0965696656165205</v>
      </c>
      <c r="H1276" s="1">
        <f t="shared" si="822"/>
        <v>1.0965696656165198</v>
      </c>
      <c r="I1276" s="1">
        <f t="shared" si="822"/>
        <v>1.0965696656165196</v>
      </c>
      <c r="J1276" s="1">
        <f t="shared" si="822"/>
        <v>1.1977010099209255</v>
      </c>
      <c r="K1276" s="1">
        <f t="shared" si="822"/>
        <v>1.3145695926636694</v>
      </c>
    </row>
    <row r="1277" spans="2:11" x14ac:dyDescent="0.35">
      <c r="B1277" s="5" t="str">
        <f t="shared" si="817"/>
        <v>SPS1</v>
      </c>
      <c r="C1277" s="5" t="str">
        <f t="shared" si="818"/>
        <v>CH</v>
      </c>
      <c r="D1277" t="s">
        <v>1196</v>
      </c>
      <c r="E1277" t="str">
        <f t="shared" si="819"/>
        <v>km/MJ</v>
      </c>
      <c r="F1277" s="1">
        <f t="shared" ref="F1277:K1277" si="823">IFERROR(F1226/F1152,"-")</f>
        <v>0.89149519806162103</v>
      </c>
      <c r="G1277" s="1">
        <f t="shared" si="823"/>
        <v>0.89149519806162192</v>
      </c>
      <c r="H1277" s="1">
        <f t="shared" si="823"/>
        <v>0.89149519806162048</v>
      </c>
      <c r="I1277" s="1">
        <f t="shared" si="823"/>
        <v>0.89149519806162025</v>
      </c>
      <c r="J1277" s="1">
        <f t="shared" si="823"/>
        <v>0.97715034188740657</v>
      </c>
      <c r="K1277" s="1">
        <f t="shared" si="823"/>
        <v>1.0810994320841374</v>
      </c>
    </row>
    <row r="1278" spans="2:11" x14ac:dyDescent="0.35">
      <c r="B1278" s="5" t="str">
        <f t="shared" si="817"/>
        <v>SPS1</v>
      </c>
      <c r="C1278" s="5" t="str">
        <f t="shared" si="818"/>
        <v>CH</v>
      </c>
      <c r="D1278" t="s">
        <v>1197</v>
      </c>
      <c r="E1278" t="str">
        <f t="shared" si="819"/>
        <v>km/MJ</v>
      </c>
      <c r="F1278" s="1">
        <f t="shared" ref="F1278:K1278" si="824">IFERROR(F1227/F1153,"-")</f>
        <v>0.83000507256490719</v>
      </c>
      <c r="G1278" s="1">
        <f t="shared" si="824"/>
        <v>0.83000507256490497</v>
      </c>
      <c r="H1278" s="1">
        <f t="shared" si="824"/>
        <v>0.83000507256490508</v>
      </c>
      <c r="I1278" s="1">
        <f t="shared" si="824"/>
        <v>0.83000507256490585</v>
      </c>
      <c r="J1278" s="1">
        <f t="shared" si="824"/>
        <v>0.91135458783148349</v>
      </c>
      <c r="K1278" s="1">
        <f t="shared" si="824"/>
        <v>1.0119649014485634</v>
      </c>
    </row>
    <row r="1279" spans="2:11" x14ac:dyDescent="0.35">
      <c r="B1279" s="5" t="str">
        <f t="shared" si="817"/>
        <v>SPS1</v>
      </c>
      <c r="C1279" s="5" t="str">
        <f t="shared" si="818"/>
        <v>CH</v>
      </c>
      <c r="D1279" t="s">
        <v>1198</v>
      </c>
      <c r="E1279" t="str">
        <f t="shared" si="819"/>
        <v>km/MJ</v>
      </c>
      <c r="F1279" s="1" t="str">
        <f t="shared" ref="F1279:K1279" si="825">IFERROR(F1228/F1154,"-")</f>
        <v>-</v>
      </c>
      <c r="G1279" s="1">
        <f t="shared" si="825"/>
        <v>0.8367528209665418</v>
      </c>
      <c r="H1279" s="1">
        <f t="shared" si="825"/>
        <v>0.83675282096654213</v>
      </c>
      <c r="I1279" s="1">
        <f t="shared" si="825"/>
        <v>0.83675282096654202</v>
      </c>
      <c r="J1279" s="1">
        <f t="shared" si="825"/>
        <v>0.91434071689282381</v>
      </c>
      <c r="K1279" s="1">
        <f t="shared" si="825"/>
        <v>1.0128328344057467</v>
      </c>
    </row>
    <row r="1280" spans="2:11" x14ac:dyDescent="0.35">
      <c r="B1280" s="5" t="str">
        <f t="shared" si="817"/>
        <v>SPS1</v>
      </c>
      <c r="C1280" s="5" t="str">
        <f t="shared" si="818"/>
        <v>CH</v>
      </c>
      <c r="D1280" t="s">
        <v>1233</v>
      </c>
      <c r="E1280" t="str">
        <f t="shared" si="819"/>
        <v>km/MJ</v>
      </c>
      <c r="F1280" s="1">
        <f t="shared" ref="F1280:K1293" si="826">IFERROR(F1229/F1160,"-")</f>
        <v>0.49379534694678268</v>
      </c>
      <c r="G1280" s="1">
        <f t="shared" si="826"/>
        <v>0.50503220860251319</v>
      </c>
      <c r="H1280" s="1">
        <f t="shared" si="826"/>
        <v>0.5218875010861096</v>
      </c>
      <c r="I1280" s="1">
        <f t="shared" si="826"/>
        <v>0.54997965522543646</v>
      </c>
      <c r="J1280" s="1" t="str">
        <f t="shared" si="826"/>
        <v>-</v>
      </c>
      <c r="K1280" s="1" t="str">
        <f t="shared" si="826"/>
        <v>-</v>
      </c>
    </row>
    <row r="1281" spans="2:11" x14ac:dyDescent="0.35">
      <c r="B1281" s="5" t="str">
        <f t="shared" si="817"/>
        <v>SPS1</v>
      </c>
      <c r="C1281" s="5" t="str">
        <f t="shared" si="818"/>
        <v>CH</v>
      </c>
      <c r="D1281" t="s">
        <v>1199</v>
      </c>
      <c r="E1281" t="str">
        <f t="shared" si="819"/>
        <v>km/MJ</v>
      </c>
      <c r="F1281" s="1">
        <f t="shared" si="826"/>
        <v>1.1337012652824001</v>
      </c>
      <c r="G1281" s="1">
        <f t="shared" si="826"/>
        <v>1.1602946657811932</v>
      </c>
      <c r="H1281" s="1">
        <f t="shared" si="826"/>
        <v>1.1573929615711578</v>
      </c>
      <c r="I1281" s="1">
        <f t="shared" si="826"/>
        <v>1.1998174068174983</v>
      </c>
      <c r="J1281" s="1">
        <f t="shared" si="826"/>
        <v>1.0189399812414397</v>
      </c>
      <c r="K1281" s="1" t="str">
        <f t="shared" si="826"/>
        <v>-</v>
      </c>
    </row>
    <row r="1282" spans="2:11" x14ac:dyDescent="0.35">
      <c r="B1282" s="5" t="str">
        <f t="shared" si="817"/>
        <v>SPS1</v>
      </c>
      <c r="C1282" s="5" t="str">
        <f t="shared" si="818"/>
        <v>CH</v>
      </c>
      <c r="D1282" t="s">
        <v>1200</v>
      </c>
      <c r="E1282" t="str">
        <f t="shared" si="819"/>
        <v>km/MJ</v>
      </c>
      <c r="F1282" s="1">
        <f t="shared" si="826"/>
        <v>1.6090795050689388</v>
      </c>
      <c r="G1282" s="1">
        <f t="shared" si="826"/>
        <v>2.2179565256793725</v>
      </c>
      <c r="H1282" s="1">
        <f t="shared" si="826"/>
        <v>2.0866522261629363</v>
      </c>
      <c r="I1282" s="1">
        <f t="shared" si="826"/>
        <v>2.0715013848262354</v>
      </c>
      <c r="J1282" s="1">
        <f t="shared" si="826"/>
        <v>1.8502018601765771</v>
      </c>
      <c r="K1282" s="1" t="str">
        <f t="shared" si="826"/>
        <v>-</v>
      </c>
    </row>
    <row r="1283" spans="2:11" x14ac:dyDescent="0.35">
      <c r="B1283" s="5" t="str">
        <f t="shared" si="817"/>
        <v>SPS1</v>
      </c>
      <c r="C1283" s="5" t="str">
        <f t="shared" si="818"/>
        <v>CH</v>
      </c>
      <c r="D1283" t="s">
        <v>1201</v>
      </c>
      <c r="E1283" t="str">
        <f t="shared" si="819"/>
        <v>km/MJ</v>
      </c>
      <c r="F1283" s="1">
        <f t="shared" si="826"/>
        <v>1.9846410134608512</v>
      </c>
      <c r="G1283" s="1">
        <f t="shared" si="826"/>
        <v>2.4943474651895516</v>
      </c>
      <c r="H1283" s="1">
        <f t="shared" si="826"/>
        <v>2.4916566359420744</v>
      </c>
      <c r="I1283" s="1">
        <f t="shared" si="826"/>
        <v>2.5084914551541191</v>
      </c>
      <c r="J1283" s="1">
        <f t="shared" si="826"/>
        <v>0.85361381790585011</v>
      </c>
      <c r="K1283" s="1" t="str">
        <f t="shared" si="826"/>
        <v>-</v>
      </c>
    </row>
    <row r="1284" spans="2:11" x14ac:dyDescent="0.35">
      <c r="B1284" s="5" t="str">
        <f t="shared" si="817"/>
        <v>SPS1</v>
      </c>
      <c r="C1284" s="5" t="str">
        <f t="shared" si="818"/>
        <v>CH</v>
      </c>
      <c r="D1284" t="s">
        <v>1202</v>
      </c>
      <c r="E1284" t="str">
        <f t="shared" si="819"/>
        <v>km/MJ</v>
      </c>
      <c r="F1284" s="1">
        <f t="shared" si="826"/>
        <v>1.1475708334889345</v>
      </c>
      <c r="G1284" s="1">
        <f t="shared" si="826"/>
        <v>1.3259803188943904</v>
      </c>
      <c r="H1284" s="1">
        <f t="shared" si="826"/>
        <v>1.3432976621154262</v>
      </c>
      <c r="I1284" s="1">
        <f t="shared" si="826"/>
        <v>1.3354703479508474</v>
      </c>
      <c r="J1284" s="1">
        <f t="shared" si="826"/>
        <v>0.75762859182827658</v>
      </c>
      <c r="K1284" s="1" t="str">
        <f t="shared" si="826"/>
        <v>-</v>
      </c>
    </row>
    <row r="1285" spans="2:11" x14ac:dyDescent="0.35">
      <c r="B1285" s="5" t="str">
        <f t="shared" si="817"/>
        <v>SPS1</v>
      </c>
      <c r="C1285" s="5" t="str">
        <f t="shared" si="818"/>
        <v>CH</v>
      </c>
      <c r="D1285" t="s">
        <v>1203</v>
      </c>
      <c r="E1285" t="str">
        <f t="shared" si="819"/>
        <v>km/MJ</v>
      </c>
      <c r="F1285" s="1">
        <f t="shared" si="826"/>
        <v>0.28603940550919527</v>
      </c>
      <c r="G1285" s="1">
        <f t="shared" si="826"/>
        <v>0.29254854993039725</v>
      </c>
      <c r="H1285" s="1">
        <f t="shared" si="826"/>
        <v>0.30231226656220034</v>
      </c>
      <c r="I1285" s="1">
        <f t="shared" si="826"/>
        <v>0.31858512761520624</v>
      </c>
      <c r="J1285" s="1" t="str">
        <f t="shared" si="826"/>
        <v>-</v>
      </c>
      <c r="K1285" s="1" t="str">
        <f t="shared" si="826"/>
        <v>-</v>
      </c>
    </row>
    <row r="1286" spans="2:11" x14ac:dyDescent="0.35">
      <c r="B1286" s="5" t="str">
        <f t="shared" si="817"/>
        <v>SPS1</v>
      </c>
      <c r="C1286" s="5" t="str">
        <f t="shared" si="818"/>
        <v>CH</v>
      </c>
      <c r="D1286" t="s">
        <v>1204</v>
      </c>
      <c r="E1286" t="str">
        <f t="shared" si="819"/>
        <v>km/MJ</v>
      </c>
      <c r="F1286" s="1">
        <f t="shared" si="826"/>
        <v>0.68304473919113329</v>
      </c>
      <c r="G1286" s="1">
        <f t="shared" si="826"/>
        <v>0.67609493276662602</v>
      </c>
      <c r="H1286" s="1">
        <f t="shared" si="826"/>
        <v>0.62121470058795458</v>
      </c>
      <c r="I1286" s="1">
        <f t="shared" si="826"/>
        <v>0.6208341870618802</v>
      </c>
      <c r="J1286" s="1">
        <f t="shared" si="826"/>
        <v>0.59896689536198877</v>
      </c>
      <c r="K1286" s="1" t="str">
        <f t="shared" si="826"/>
        <v>-</v>
      </c>
    </row>
    <row r="1287" spans="2:11" x14ac:dyDescent="0.35">
      <c r="B1287" s="5" t="str">
        <f t="shared" si="817"/>
        <v>SPS1</v>
      </c>
      <c r="C1287" s="5" t="str">
        <f t="shared" si="818"/>
        <v>CH</v>
      </c>
      <c r="D1287" t="s">
        <v>1205</v>
      </c>
      <c r="E1287" t="str">
        <f t="shared" si="819"/>
        <v>km/MJ</v>
      </c>
      <c r="F1287" s="1">
        <f t="shared" si="826"/>
        <v>0.60631679690665008</v>
      </c>
      <c r="G1287" s="1">
        <f t="shared" si="826"/>
        <v>0.60445850517582145</v>
      </c>
      <c r="H1287" s="1">
        <f t="shared" si="826"/>
        <v>0.61060260620674145</v>
      </c>
      <c r="I1287" s="1">
        <f t="shared" si="826"/>
        <v>0.60919284040050781</v>
      </c>
      <c r="J1287" s="1">
        <f t="shared" si="826"/>
        <v>0.53429914948243218</v>
      </c>
      <c r="K1287" s="1" t="str">
        <f t="shared" si="826"/>
        <v>-</v>
      </c>
    </row>
    <row r="1288" spans="2:11" x14ac:dyDescent="0.35">
      <c r="B1288" s="5" t="str">
        <f t="shared" si="817"/>
        <v>SPS1</v>
      </c>
      <c r="C1288" s="5" t="str">
        <f t="shared" si="818"/>
        <v>CH</v>
      </c>
      <c r="D1288" t="s">
        <v>1206</v>
      </c>
      <c r="E1288" t="str">
        <f t="shared" si="819"/>
        <v>km/MJ</v>
      </c>
      <c r="F1288" s="1">
        <f t="shared" si="826"/>
        <v>0.5167066453462732</v>
      </c>
      <c r="G1288" s="1">
        <f t="shared" si="826"/>
        <v>0.51602707707525441</v>
      </c>
      <c r="H1288" s="1">
        <f t="shared" si="826"/>
        <v>0.51117655670778661</v>
      </c>
      <c r="I1288" s="1">
        <f t="shared" si="826"/>
        <v>0.51441975263912221</v>
      </c>
      <c r="J1288" s="1">
        <f t="shared" si="826"/>
        <v>0.48213422401905126</v>
      </c>
      <c r="K1288" s="1" t="str">
        <f t="shared" si="826"/>
        <v>-</v>
      </c>
    </row>
    <row r="1289" spans="2:11" x14ac:dyDescent="0.35">
      <c r="B1289" s="5" t="str">
        <f t="shared" si="817"/>
        <v>SPS1</v>
      </c>
      <c r="C1289" s="5" t="str">
        <f t="shared" si="818"/>
        <v>CH</v>
      </c>
      <c r="D1289" t="s">
        <v>1207</v>
      </c>
      <c r="E1289" t="str">
        <f t="shared" si="819"/>
        <v>km/MJ</v>
      </c>
      <c r="F1289" s="1">
        <f t="shared" si="826"/>
        <v>0.4402676177044732</v>
      </c>
      <c r="G1289" s="1">
        <f t="shared" si="826"/>
        <v>0.4332968362213242</v>
      </c>
      <c r="H1289" s="1">
        <f t="shared" si="826"/>
        <v>0.43396286180544819</v>
      </c>
      <c r="I1289" s="1">
        <f t="shared" si="826"/>
        <v>0.43675255491544568</v>
      </c>
      <c r="J1289" s="1">
        <f t="shared" si="826"/>
        <v>0.43445331400322756</v>
      </c>
      <c r="K1289" s="1" t="str">
        <f t="shared" si="826"/>
        <v>-</v>
      </c>
    </row>
    <row r="1290" spans="2:11" x14ac:dyDescent="0.35">
      <c r="B1290" s="5" t="str">
        <f t="shared" si="817"/>
        <v>SPS1</v>
      </c>
      <c r="C1290" s="5" t="str">
        <f t="shared" si="818"/>
        <v>CH</v>
      </c>
      <c r="D1290" t="s">
        <v>1208</v>
      </c>
      <c r="E1290" t="str">
        <f t="shared" si="819"/>
        <v>km/MJ</v>
      </c>
      <c r="F1290" s="1" t="str">
        <f t="shared" si="826"/>
        <v>-</v>
      </c>
      <c r="G1290" s="1">
        <f t="shared" si="826"/>
        <v>0.51837627625535143</v>
      </c>
      <c r="H1290" s="1">
        <f t="shared" si="826"/>
        <v>0.5457055709785833</v>
      </c>
      <c r="I1290" s="1">
        <f t="shared" si="826"/>
        <v>0.56421381530229187</v>
      </c>
      <c r="J1290" s="1">
        <f t="shared" si="826"/>
        <v>0.59025191363637708</v>
      </c>
      <c r="K1290" s="1" t="str">
        <f t="shared" si="826"/>
        <v>-</v>
      </c>
    </row>
    <row r="1291" spans="2:11" x14ac:dyDescent="0.35">
      <c r="B1291" s="5" t="str">
        <f t="shared" si="817"/>
        <v>SPS1</v>
      </c>
      <c r="C1291" s="5" t="str">
        <f t="shared" si="818"/>
        <v>CH</v>
      </c>
      <c r="D1291" t="s">
        <v>1209</v>
      </c>
      <c r="E1291" t="str">
        <f t="shared" si="819"/>
        <v>km/MJ</v>
      </c>
      <c r="F1291" s="1" t="str">
        <f t="shared" si="826"/>
        <v>-</v>
      </c>
      <c r="G1291" s="1">
        <f t="shared" si="826"/>
        <v>0.41733711223535003</v>
      </c>
      <c r="H1291" s="1">
        <f t="shared" si="826"/>
        <v>0.44062043452585303</v>
      </c>
      <c r="I1291" s="1">
        <f t="shared" si="826"/>
        <v>0.45991793098058598</v>
      </c>
      <c r="J1291" s="1">
        <f t="shared" si="826"/>
        <v>0.48119634029659425</v>
      </c>
      <c r="K1291" s="1" t="str">
        <f t="shared" si="826"/>
        <v>-</v>
      </c>
    </row>
    <row r="1292" spans="2:11" x14ac:dyDescent="0.35">
      <c r="B1292" s="5" t="str">
        <f t="shared" si="817"/>
        <v>SPS1</v>
      </c>
      <c r="C1292" s="5" t="str">
        <f t="shared" si="818"/>
        <v>CH</v>
      </c>
      <c r="D1292" t="s">
        <v>1210</v>
      </c>
      <c r="E1292" t="str">
        <f t="shared" si="819"/>
        <v>km/MJ</v>
      </c>
      <c r="F1292" s="1" t="str">
        <f t="shared" si="826"/>
        <v>-</v>
      </c>
      <c r="G1292" s="1">
        <f t="shared" si="826"/>
        <v>0.38796990995538655</v>
      </c>
      <c r="H1292" s="1">
        <f t="shared" si="826"/>
        <v>0.40809390390218997</v>
      </c>
      <c r="I1292" s="1">
        <f t="shared" si="826"/>
        <v>0.42455945150413515</v>
      </c>
      <c r="J1292" s="1">
        <f t="shared" si="826"/>
        <v>0.44752477493096005</v>
      </c>
      <c r="K1292" s="1" t="str">
        <f t="shared" si="826"/>
        <v>-</v>
      </c>
    </row>
    <row r="1293" spans="2:11" x14ac:dyDescent="0.35">
      <c r="B1293" s="5" t="str">
        <f t="shared" si="817"/>
        <v>SPS1</v>
      </c>
      <c r="C1293" s="5" t="str">
        <f t="shared" si="818"/>
        <v>CH</v>
      </c>
      <c r="D1293" t="s">
        <v>1211</v>
      </c>
      <c r="E1293" t="str">
        <f t="shared" si="819"/>
        <v>km/MJ</v>
      </c>
      <c r="F1293" s="1" t="str">
        <f t="shared" si="826"/>
        <v>-</v>
      </c>
      <c r="G1293" s="1">
        <f t="shared" si="826"/>
        <v>0.39332458747711413</v>
      </c>
      <c r="H1293" s="1">
        <f t="shared" si="826"/>
        <v>0.41387180971567528</v>
      </c>
      <c r="I1293" s="1">
        <f t="shared" si="826"/>
        <v>0.43165521174125288</v>
      </c>
      <c r="J1293" s="1">
        <f t="shared" si="826"/>
        <v>0.4525659591497192</v>
      </c>
      <c r="K1293" s="1" t="str">
        <f t="shared" si="826"/>
        <v>-</v>
      </c>
    </row>
    <row r="1294" spans="2:11" x14ac:dyDescent="0.35">
      <c r="B1294" s="5" t="str">
        <f t="shared" si="817"/>
        <v>SPS1</v>
      </c>
      <c r="C1294" s="5" t="str">
        <f t="shared" si="818"/>
        <v>CH</v>
      </c>
      <c r="D1294" t="s">
        <v>1235</v>
      </c>
      <c r="E1294" t="str">
        <f t="shared" si="819"/>
        <v>km/MJ</v>
      </c>
      <c r="F1294" s="1" t="str">
        <f t="shared" ref="F1294:K1307" si="827">IFERROR(F1243/F1183,"-")</f>
        <v>-</v>
      </c>
      <c r="G1294" s="1" t="str">
        <f t="shared" si="827"/>
        <v>-</v>
      </c>
      <c r="H1294" s="1" t="str">
        <f t="shared" si="827"/>
        <v>-</v>
      </c>
      <c r="I1294" s="1" t="str">
        <f t="shared" si="827"/>
        <v>-</v>
      </c>
      <c r="J1294" s="1" t="str">
        <f t="shared" si="827"/>
        <v>-</v>
      </c>
      <c r="K1294" s="1" t="str">
        <f t="shared" si="827"/>
        <v>-</v>
      </c>
    </row>
    <row r="1295" spans="2:11" x14ac:dyDescent="0.35">
      <c r="B1295" s="5" t="str">
        <f t="shared" si="817"/>
        <v>SPS1</v>
      </c>
      <c r="C1295" s="5" t="str">
        <f t="shared" si="818"/>
        <v>CH</v>
      </c>
      <c r="D1295" t="s">
        <v>1212</v>
      </c>
      <c r="E1295" t="str">
        <f t="shared" si="819"/>
        <v>km/MJ</v>
      </c>
      <c r="F1295" s="1">
        <f t="shared" si="827"/>
        <v>0.41824117647058795</v>
      </c>
      <c r="G1295" s="1">
        <f t="shared" si="827"/>
        <v>1.6975906284377635</v>
      </c>
      <c r="H1295" s="1">
        <f t="shared" si="827"/>
        <v>1.691947993518756</v>
      </c>
      <c r="I1295" s="1">
        <f t="shared" si="827"/>
        <v>1.689833800396729</v>
      </c>
      <c r="J1295" s="1">
        <f t="shared" si="827"/>
        <v>1.2325717926120485</v>
      </c>
      <c r="K1295" s="1" t="str">
        <f t="shared" si="827"/>
        <v>-</v>
      </c>
    </row>
    <row r="1296" spans="2:11" x14ac:dyDescent="0.35">
      <c r="B1296" s="5" t="str">
        <f t="shared" si="817"/>
        <v>SPS1</v>
      </c>
      <c r="C1296" s="5" t="str">
        <f t="shared" si="818"/>
        <v>CH</v>
      </c>
      <c r="D1296" t="s">
        <v>1213</v>
      </c>
      <c r="E1296" t="str">
        <f t="shared" si="819"/>
        <v>km/MJ</v>
      </c>
      <c r="F1296" s="1">
        <f t="shared" si="827"/>
        <v>1.1725459001300775</v>
      </c>
      <c r="G1296" s="1">
        <f t="shared" si="827"/>
        <v>2.6786077251765263</v>
      </c>
      <c r="H1296" s="1">
        <f t="shared" si="827"/>
        <v>2.2013601363963247</v>
      </c>
      <c r="I1296" s="1">
        <f t="shared" si="827"/>
        <v>2.1864624837731204</v>
      </c>
      <c r="J1296" s="1">
        <f t="shared" si="827"/>
        <v>1.950574680790385</v>
      </c>
      <c r="K1296" s="1" t="str">
        <f t="shared" si="827"/>
        <v>-</v>
      </c>
    </row>
    <row r="1297" spans="2:11" x14ac:dyDescent="0.35">
      <c r="B1297" s="5" t="str">
        <f t="shared" si="817"/>
        <v>SPS1</v>
      </c>
      <c r="C1297" s="5" t="str">
        <f t="shared" si="818"/>
        <v>CH</v>
      </c>
      <c r="D1297" t="s">
        <v>1214</v>
      </c>
      <c r="E1297" t="str">
        <f t="shared" si="819"/>
        <v>km/MJ</v>
      </c>
      <c r="F1297" s="1">
        <f t="shared" si="827"/>
        <v>0.89621253799981715</v>
      </c>
      <c r="G1297" s="1">
        <f t="shared" si="827"/>
        <v>1.1890096732181006</v>
      </c>
      <c r="H1297" s="1">
        <f t="shared" si="827"/>
        <v>1.1842849256285632</v>
      </c>
      <c r="I1297" s="1">
        <f t="shared" si="827"/>
        <v>1.2575777369723267</v>
      </c>
      <c r="J1297" s="1">
        <f t="shared" si="827"/>
        <v>0.79086259513217649</v>
      </c>
      <c r="K1297" s="1" t="str">
        <f t="shared" si="827"/>
        <v>-</v>
      </c>
    </row>
    <row r="1298" spans="2:11" x14ac:dyDescent="0.35">
      <c r="B1298" s="5" t="str">
        <f t="shared" si="817"/>
        <v>SPS1</v>
      </c>
      <c r="C1298" s="5" t="str">
        <f t="shared" si="818"/>
        <v>CH</v>
      </c>
      <c r="D1298" t="s">
        <v>1215</v>
      </c>
      <c r="E1298" t="str">
        <f t="shared" si="819"/>
        <v>km/MJ</v>
      </c>
      <c r="F1298" s="1">
        <f t="shared" si="827"/>
        <v>1.3456302004165919</v>
      </c>
      <c r="G1298" s="1">
        <f t="shared" si="827"/>
        <v>1.577598792167757</v>
      </c>
      <c r="H1298" s="1">
        <f t="shared" si="827"/>
        <v>1.5864483024383993</v>
      </c>
      <c r="I1298" s="1">
        <f t="shared" si="827"/>
        <v>1.6215299734281376</v>
      </c>
      <c r="J1298" s="1">
        <f t="shared" si="827"/>
        <v>0.77325612598347915</v>
      </c>
      <c r="K1298" s="1" t="str">
        <f t="shared" si="827"/>
        <v>-</v>
      </c>
    </row>
    <row r="1299" spans="2:11" x14ac:dyDescent="0.35">
      <c r="B1299" s="5" t="str">
        <f t="shared" si="817"/>
        <v>SPS1</v>
      </c>
      <c r="C1299" s="5" t="str">
        <f t="shared" si="818"/>
        <v>CH</v>
      </c>
      <c r="D1299" t="s">
        <v>1216</v>
      </c>
      <c r="E1299" t="str">
        <f t="shared" si="819"/>
        <v>km/MJ</v>
      </c>
      <c r="F1299" s="1">
        <f t="shared" si="827"/>
        <v>0.33901850024085967</v>
      </c>
      <c r="G1299" s="1">
        <f t="shared" si="827"/>
        <v>0.35391427166601103</v>
      </c>
      <c r="H1299" s="1">
        <f t="shared" si="827"/>
        <v>0.37625792880373737</v>
      </c>
      <c r="I1299" s="1">
        <f t="shared" si="827"/>
        <v>0.41349735736661503</v>
      </c>
      <c r="J1299" s="1" t="str">
        <f t="shared" si="827"/>
        <v>-</v>
      </c>
      <c r="K1299" s="1" t="str">
        <f t="shared" si="827"/>
        <v>-</v>
      </c>
    </row>
    <row r="1300" spans="2:11" x14ac:dyDescent="0.35">
      <c r="B1300" s="5" t="str">
        <f t="shared" si="817"/>
        <v>SPS1</v>
      </c>
      <c r="C1300" s="5" t="str">
        <f t="shared" si="818"/>
        <v>CH</v>
      </c>
      <c r="D1300" t="s">
        <v>1217</v>
      </c>
      <c r="E1300" t="str">
        <f t="shared" si="819"/>
        <v>km/MJ</v>
      </c>
      <c r="F1300" s="1">
        <f t="shared" si="827"/>
        <v>0.75011819635284738</v>
      </c>
      <c r="G1300" s="1">
        <f t="shared" si="827"/>
        <v>0.76969178113621528</v>
      </c>
      <c r="H1300" s="1">
        <f t="shared" si="827"/>
        <v>0.77270911194937231</v>
      </c>
      <c r="I1300" s="1">
        <f t="shared" si="827"/>
        <v>0.78861075573779638</v>
      </c>
      <c r="J1300" s="1">
        <f t="shared" si="827"/>
        <v>0.65947213234489166</v>
      </c>
      <c r="K1300" s="1" t="str">
        <f t="shared" si="827"/>
        <v>-</v>
      </c>
    </row>
    <row r="1301" spans="2:11" x14ac:dyDescent="0.35">
      <c r="B1301" s="5" t="str">
        <f t="shared" si="817"/>
        <v>SPS1</v>
      </c>
      <c r="C1301" s="5" t="str">
        <f t="shared" si="818"/>
        <v>CH</v>
      </c>
      <c r="D1301" t="s">
        <v>1218</v>
      </c>
      <c r="E1301" t="str">
        <f t="shared" si="819"/>
        <v>km/MJ</v>
      </c>
      <c r="F1301" s="1">
        <f t="shared" si="827"/>
        <v>0.6964082736700371</v>
      </c>
      <c r="G1301" s="1">
        <f t="shared" si="827"/>
        <v>0.70374415031433069</v>
      </c>
      <c r="H1301" s="1">
        <f t="shared" si="827"/>
        <v>0.72058852403298213</v>
      </c>
      <c r="I1301" s="1">
        <f t="shared" si="827"/>
        <v>0.76291452528815151</v>
      </c>
      <c r="J1301" s="1">
        <f t="shared" si="827"/>
        <v>0.53431052324565431</v>
      </c>
      <c r="K1301" s="1" t="str">
        <f t="shared" si="827"/>
        <v>-</v>
      </c>
    </row>
    <row r="1302" spans="2:11" x14ac:dyDescent="0.35">
      <c r="B1302" s="5" t="str">
        <f t="shared" si="817"/>
        <v>SPS1</v>
      </c>
      <c r="C1302" s="5" t="str">
        <f t="shared" si="818"/>
        <v>CH</v>
      </c>
      <c r="D1302" t="s">
        <v>1219</v>
      </c>
      <c r="E1302" t="str">
        <f t="shared" si="819"/>
        <v>km/MJ</v>
      </c>
      <c r="F1302" s="1">
        <f t="shared" si="827"/>
        <v>0.52788046002711098</v>
      </c>
      <c r="G1302" s="1">
        <f t="shared" si="827"/>
        <v>0.53241953966803923</v>
      </c>
      <c r="H1302" s="1">
        <f t="shared" si="827"/>
        <v>0.53195425190513135</v>
      </c>
      <c r="I1302" s="1">
        <f t="shared" si="827"/>
        <v>0.54121748980066386</v>
      </c>
      <c r="J1302" s="1">
        <f t="shared" si="827"/>
        <v>0.47617322297791537</v>
      </c>
      <c r="K1302" s="1" t="str">
        <f t="shared" si="827"/>
        <v>-</v>
      </c>
    </row>
    <row r="1303" spans="2:11" x14ac:dyDescent="0.35">
      <c r="B1303" s="5" t="str">
        <f t="shared" si="817"/>
        <v>SPS1</v>
      </c>
      <c r="C1303" s="5" t="str">
        <f t="shared" si="818"/>
        <v>CH</v>
      </c>
      <c r="D1303" t="s">
        <v>1220</v>
      </c>
      <c r="E1303" t="str">
        <f t="shared" si="819"/>
        <v>km/MJ</v>
      </c>
      <c r="F1303" s="1">
        <f t="shared" si="827"/>
        <v>0.46605369638785049</v>
      </c>
      <c r="G1303" s="1">
        <f t="shared" si="827"/>
        <v>0.45574946005553851</v>
      </c>
      <c r="H1303" s="1">
        <f t="shared" si="827"/>
        <v>0.46629624480502746</v>
      </c>
      <c r="I1303" s="1">
        <f t="shared" si="827"/>
        <v>0.46322322570228697</v>
      </c>
      <c r="J1303" s="1">
        <f t="shared" si="827"/>
        <v>0.42472602443880014</v>
      </c>
      <c r="K1303" s="1" t="str">
        <f t="shared" si="827"/>
        <v>-</v>
      </c>
    </row>
    <row r="1304" spans="2:11" x14ac:dyDescent="0.35">
      <c r="B1304" s="5" t="str">
        <f t="shared" si="817"/>
        <v>SPS1</v>
      </c>
      <c r="C1304" s="5" t="str">
        <f t="shared" si="818"/>
        <v>CH</v>
      </c>
      <c r="D1304" t="s">
        <v>1221</v>
      </c>
      <c r="E1304" t="str">
        <f t="shared" si="819"/>
        <v>km/MJ</v>
      </c>
      <c r="F1304" s="1" t="str">
        <f t="shared" si="827"/>
        <v>-</v>
      </c>
      <c r="G1304" s="1">
        <f t="shared" si="827"/>
        <v>0.5620354474855459</v>
      </c>
      <c r="H1304" s="1">
        <f t="shared" si="827"/>
        <v>0.58610116592342709</v>
      </c>
      <c r="I1304" s="1">
        <f t="shared" si="827"/>
        <v>0.60354942194155503</v>
      </c>
      <c r="J1304" s="1">
        <f t="shared" si="827"/>
        <v>0.62690875279344638</v>
      </c>
      <c r="K1304" s="1" t="str">
        <f t="shared" si="827"/>
        <v>-</v>
      </c>
    </row>
    <row r="1305" spans="2:11" x14ac:dyDescent="0.35">
      <c r="B1305" s="5" t="str">
        <f t="shared" si="817"/>
        <v>SPS1</v>
      </c>
      <c r="C1305" s="5" t="str">
        <f t="shared" si="818"/>
        <v>CH</v>
      </c>
      <c r="D1305" t="s">
        <v>1222</v>
      </c>
      <c r="E1305" t="str">
        <f t="shared" si="819"/>
        <v>km/MJ</v>
      </c>
      <c r="F1305" s="1" t="str">
        <f t="shared" si="827"/>
        <v>-</v>
      </c>
      <c r="G1305" s="1">
        <f t="shared" si="827"/>
        <v>0.45210145766281434</v>
      </c>
      <c r="H1305" s="1">
        <f t="shared" si="827"/>
        <v>0.4729350367222831</v>
      </c>
      <c r="I1305" s="1">
        <f t="shared" si="827"/>
        <v>0.49066380675082405</v>
      </c>
      <c r="J1305" s="1">
        <f t="shared" si="827"/>
        <v>0.51015879729827629</v>
      </c>
      <c r="K1305" s="1" t="str">
        <f t="shared" si="827"/>
        <v>-</v>
      </c>
    </row>
    <row r="1306" spans="2:11" x14ac:dyDescent="0.35">
      <c r="B1306" s="5" t="str">
        <f t="shared" si="817"/>
        <v>SPS1</v>
      </c>
      <c r="C1306" s="5" t="str">
        <f t="shared" si="818"/>
        <v>CH</v>
      </c>
      <c r="D1306" t="s">
        <v>1223</v>
      </c>
      <c r="E1306" t="str">
        <f t="shared" si="819"/>
        <v>km/MJ</v>
      </c>
      <c r="F1306" s="1" t="str">
        <f t="shared" si="827"/>
        <v>-</v>
      </c>
      <c r="G1306" s="1">
        <f t="shared" si="827"/>
        <v>0.42028149632876916</v>
      </c>
      <c r="H1306" s="1">
        <f t="shared" si="827"/>
        <v>0.4383781977450254</v>
      </c>
      <c r="I1306" s="1">
        <f t="shared" si="827"/>
        <v>0.4535901429236503</v>
      </c>
      <c r="J1306" s="1">
        <f t="shared" si="827"/>
        <v>0.47428950165651351</v>
      </c>
      <c r="K1306" s="1" t="str">
        <f t="shared" si="827"/>
        <v>-</v>
      </c>
    </row>
    <row r="1307" spans="2:11" x14ac:dyDescent="0.35">
      <c r="B1307" s="5" t="str">
        <f t="shared" si="817"/>
        <v>SPS1</v>
      </c>
      <c r="C1307" s="5" t="str">
        <f t="shared" si="818"/>
        <v>CH</v>
      </c>
      <c r="D1307" t="s">
        <v>1224</v>
      </c>
      <c r="E1307" t="str">
        <f t="shared" si="819"/>
        <v>km/MJ</v>
      </c>
      <c r="F1307" s="1" t="str">
        <f t="shared" si="827"/>
        <v>-</v>
      </c>
      <c r="G1307" s="1">
        <f t="shared" si="827"/>
        <v>0.39943403925494775</v>
      </c>
      <c r="H1307" s="1">
        <f t="shared" si="827"/>
        <v>0.41469859522045049</v>
      </c>
      <c r="I1307" s="1">
        <f t="shared" si="827"/>
        <v>0.43098483708152413</v>
      </c>
      <c r="J1307" s="1">
        <f t="shared" si="827"/>
        <v>0.45122602775199028</v>
      </c>
      <c r="K1307" s="1" t="str">
        <f t="shared" si="827"/>
        <v>-</v>
      </c>
    </row>
    <row r="1308" spans="2:11" x14ac:dyDescent="0.35">
      <c r="B1308" s="5" t="str">
        <f t="shared" si="817"/>
        <v>SPS1</v>
      </c>
      <c r="C1308" s="5" t="str">
        <f t="shared" si="818"/>
        <v>CH</v>
      </c>
      <c r="D1308" t="s">
        <v>1225</v>
      </c>
      <c r="E1308" t="str">
        <f t="shared" si="819"/>
        <v>km/MJ</v>
      </c>
      <c r="F1308" s="1" t="str">
        <f>IFERROR(F1257/F1206,"-")</f>
        <v>-</v>
      </c>
      <c r="G1308" s="1">
        <f t="shared" ref="G1308:K1312" si="828">IFERROR(G1257/G1197,"-")</f>
        <v>0</v>
      </c>
      <c r="H1308" s="1">
        <f t="shared" si="828"/>
        <v>0</v>
      </c>
      <c r="I1308" s="1">
        <f t="shared" si="828"/>
        <v>0</v>
      </c>
      <c r="J1308" s="1">
        <f t="shared" si="828"/>
        <v>0</v>
      </c>
      <c r="K1308" s="1">
        <f t="shared" si="828"/>
        <v>0</v>
      </c>
    </row>
    <row r="1309" spans="2:11" x14ac:dyDescent="0.35">
      <c r="B1309" s="5" t="str">
        <f t="shared" si="817"/>
        <v>SPS1</v>
      </c>
      <c r="C1309" s="5" t="str">
        <f t="shared" si="818"/>
        <v>CH</v>
      </c>
      <c r="D1309" t="s">
        <v>1226</v>
      </c>
      <c r="E1309" t="str">
        <f t="shared" si="819"/>
        <v>km/MJ</v>
      </c>
      <c r="F1309" s="1">
        <f>IFERROR(F1258/F1207,"-")</f>
        <v>0.61541688970026587</v>
      </c>
      <c r="G1309" s="1">
        <f t="shared" si="828"/>
        <v>3.1493482051146704</v>
      </c>
      <c r="H1309" s="1">
        <f t="shared" si="828"/>
        <v>0.75840963829086327</v>
      </c>
      <c r="I1309" s="1">
        <f t="shared" si="828"/>
        <v>1.8463523055891821E-2</v>
      </c>
      <c r="J1309" s="1">
        <f t="shared" si="828"/>
        <v>8.653240193024533E-4</v>
      </c>
      <c r="K1309" s="1">
        <f t="shared" si="828"/>
        <v>0</v>
      </c>
    </row>
    <row r="1310" spans="2:11" x14ac:dyDescent="0.35">
      <c r="B1310" s="5" t="str">
        <f t="shared" si="817"/>
        <v>SPS1</v>
      </c>
      <c r="C1310" s="5" t="str">
        <f t="shared" si="818"/>
        <v>CH</v>
      </c>
      <c r="D1310" t="s">
        <v>1227</v>
      </c>
      <c r="E1310" t="str">
        <f t="shared" si="819"/>
        <v>km/MJ</v>
      </c>
      <c r="F1310" s="1">
        <f>IFERROR(F1259/F1208,"-")</f>
        <v>0.63143486438605745</v>
      </c>
      <c r="G1310" s="1">
        <f t="shared" si="828"/>
        <v>9.6120592798174371</v>
      </c>
      <c r="H1310" s="1">
        <f t="shared" si="828"/>
        <v>2.5674503660312931E-2</v>
      </c>
      <c r="I1310" s="1">
        <f t="shared" si="828"/>
        <v>1.6533516431348016E-5</v>
      </c>
      <c r="J1310" s="1">
        <f t="shared" si="828"/>
        <v>5.8552692667098953E-7</v>
      </c>
      <c r="K1310" s="1">
        <f t="shared" si="828"/>
        <v>0</v>
      </c>
    </row>
    <row r="1311" spans="2:11" x14ac:dyDescent="0.35">
      <c r="B1311" s="5" t="str">
        <f t="shared" si="817"/>
        <v>SPS1</v>
      </c>
      <c r="C1311" s="5" t="str">
        <f t="shared" si="818"/>
        <v>CH</v>
      </c>
      <c r="D1311" t="s">
        <v>1228</v>
      </c>
      <c r="E1311" t="str">
        <f t="shared" si="819"/>
        <v>km/MJ</v>
      </c>
      <c r="F1311" s="1">
        <f>IFERROR(F1260/F1209,"-")</f>
        <v>0.46792286128333932</v>
      </c>
      <c r="G1311" s="1">
        <f t="shared" si="828"/>
        <v>0.14639850417514044</v>
      </c>
      <c r="H1311" s="1">
        <f t="shared" si="828"/>
        <v>0.12581922159742298</v>
      </c>
      <c r="I1311" s="1">
        <f t="shared" si="828"/>
        <v>6.5466676192013577E-3</v>
      </c>
      <c r="J1311" s="1">
        <f t="shared" si="828"/>
        <v>5.4519952113766439E-4</v>
      </c>
      <c r="K1311" s="1">
        <f t="shared" si="828"/>
        <v>0</v>
      </c>
    </row>
    <row r="1312" spans="2:11" x14ac:dyDescent="0.35">
      <c r="B1312" s="5" t="str">
        <f t="shared" si="817"/>
        <v>SPS1</v>
      </c>
      <c r="C1312" s="5" t="str">
        <f t="shared" si="818"/>
        <v>CH</v>
      </c>
      <c r="D1312" t="s">
        <v>1229</v>
      </c>
      <c r="E1312" t="str">
        <f t="shared" si="819"/>
        <v>km/MJ</v>
      </c>
      <c r="F1312" s="1">
        <f>IFERROR(F1261/F1210,"-")</f>
        <v>0.68268922168847068</v>
      </c>
      <c r="G1312" s="1">
        <f t="shared" si="828"/>
        <v>0.29313596009880283</v>
      </c>
      <c r="H1312" s="1">
        <f t="shared" si="828"/>
        <v>0.27126910686778832</v>
      </c>
      <c r="I1312" s="1">
        <f t="shared" si="828"/>
        <v>5.6884477743013896E-2</v>
      </c>
      <c r="J1312" s="1">
        <f t="shared" si="828"/>
        <v>0.12954066876404566</v>
      </c>
      <c r="K1312" s="1" t="str">
        <f t="shared" si="828"/>
        <v>-</v>
      </c>
    </row>
    <row r="1313" spans="2:16" x14ac:dyDescent="0.35">
      <c r="B1313" s="9" t="str">
        <f t="shared" ref="B1313" si="829">B1312</f>
        <v>SPS1</v>
      </c>
      <c r="C1313" s="9" t="str">
        <f t="shared" ref="C1313" si="830">C1312</f>
        <v>CH</v>
      </c>
      <c r="D1313" s="2" t="s">
        <v>1305</v>
      </c>
      <c r="E1313" s="2" t="s">
        <v>8</v>
      </c>
      <c r="F1313" s="3">
        <f>F1314+F1320+F1325+F1339</f>
        <v>0.75495604851836395</v>
      </c>
      <c r="G1313" s="3">
        <f t="shared" ref="G1313:K1313" si="831">G1314+G1320+G1325+G1339</f>
        <v>1.3316184998470202</v>
      </c>
      <c r="H1313" s="3">
        <f t="shared" si="831"/>
        <v>2.3421871864836334</v>
      </c>
      <c r="I1313" s="3">
        <f t="shared" si="831"/>
        <v>1.189110827984071</v>
      </c>
      <c r="J1313" s="3">
        <f t="shared" si="831"/>
        <v>1.1776009195233061</v>
      </c>
      <c r="K1313" s="3">
        <f t="shared" si="831"/>
        <v>1.1483776264808279</v>
      </c>
      <c r="M1313" s="3"/>
      <c r="N1313" s="3"/>
      <c r="O1313" s="3"/>
      <c r="P1313" s="3"/>
    </row>
    <row r="1314" spans="2:16" x14ac:dyDescent="0.35">
      <c r="B1314" s="5" t="str">
        <f>B1313</f>
        <v>SPS1</v>
      </c>
      <c r="C1314" s="5" t="str">
        <f>C1313</f>
        <v>CH</v>
      </c>
      <c r="D1314" t="s">
        <v>1307</v>
      </c>
      <c r="E1314" t="s">
        <v>8</v>
      </c>
      <c r="F1314" s="1">
        <f>SUM(F1315:F1319)</f>
        <v>6.5643115554640209E-3</v>
      </c>
      <c r="G1314" s="1">
        <f t="shared" ref="G1314:K1314" si="832">SUM(G1315:G1319)</f>
        <v>1.3972351865065855E-2</v>
      </c>
      <c r="H1314" s="1">
        <f t="shared" si="832"/>
        <v>1.7626075590879382E-2</v>
      </c>
      <c r="I1314" s="1">
        <f t="shared" si="832"/>
        <v>1.1890592888899822</v>
      </c>
      <c r="J1314" s="1">
        <f t="shared" si="832"/>
        <v>1.1776007583888897</v>
      </c>
      <c r="K1314" s="1">
        <f t="shared" si="832"/>
        <v>1.1483435762541006</v>
      </c>
    </row>
    <row r="1315" spans="2:16" x14ac:dyDescent="0.35">
      <c r="B1315" s="5" t="str">
        <f t="shared" ref="B1315:B1348" si="833">B1314</f>
        <v>SPS1</v>
      </c>
      <c r="C1315" s="5" t="str">
        <f t="shared" ref="C1315:C1348" si="834">C1314</f>
        <v>CH</v>
      </c>
      <c r="D1315" t="s">
        <v>1308</v>
      </c>
      <c r="E1315" t="s">
        <v>8</v>
      </c>
      <c r="F1315" s="1" cm="1">
        <f t="array" ref="F1315">SUMPRODUCT(("T_B_u-BeVELCEXT"=[1]OUT_TransportEnergyCons!$A$3:$A$1000)*1,("Var_Fin"=[1]OUT_TransportEnergyCons!$B$3:$B$1000)*1,ISNUMBER(SEARCH("ELC",[1]OUT_TransportEnergyCons!$C$3:$C$1000))*1,[1]OUT_TransportEnergyCons!D$3:D$1000)</f>
        <v>4.7648647220909385E-4</v>
      </c>
      <c r="G1315" s="1" cm="1">
        <f t="array" ref="G1315">SUMPRODUCT(("T_B_u-BeVELCEXT"=[1]OUT_TransportEnergyCons!$A$3:$A$1000)*1,("Var_Fin"=[1]OUT_TransportEnergyCons!$B$3:$B$1000)*1,ISNUMBER(SEARCH("ELC",[1]OUT_TransportEnergyCons!$C$3:$C$1000))*1,[1]OUT_TransportEnergyCons!E$3:E$1000)</f>
        <v>4.7681915257521008E-4</v>
      </c>
      <c r="H1315" s="1" cm="1">
        <f t="array" ref="H1315">SUMPRODUCT(("T_B_u-BeVELCEXT"=[1]OUT_TransportEnergyCons!$A$3:$A$1000)*1,("Var_Fin"=[1]OUT_TransportEnergyCons!$B$3:$B$1000)*1,ISNUMBER(SEARCH("ELC",[1]OUT_TransportEnergyCons!$C$3:$C$1000))*1,[1]OUT_TransportEnergyCons!F$3:F$1000)</f>
        <v>4.6735491781515082E-4</v>
      </c>
      <c r="I1315" s="1" cm="1">
        <f t="array" ref="I1315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5" s="1" cm="1">
        <f t="array" ref="J1315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5" s="1" cm="1">
        <f t="array" ref="K1315">SUMPRODUCT(("T_B_u-BeVELCEXT"=[1]OUT_TransportEnergyCons!$A$3:$A$1000)*1,("Var_Fin"=[1]OUT_TransportEnergyCons!$B$3:$B$1000)*1,ISNUMBER(SEARCH("ELC",[1]OUT_TransportEnergyCons!$C$3:$C$1000))*1,[1]OUT_TransportEnergyCons!I$3:I$1000)</f>
        <v>0</v>
      </c>
    </row>
    <row r="1316" spans="2:16" x14ac:dyDescent="0.35">
      <c r="B1316" s="5" t="str">
        <f t="shared" si="833"/>
        <v>SPS1</v>
      </c>
      <c r="C1316" s="5" t="str">
        <f t="shared" si="834"/>
        <v>CH</v>
      </c>
      <c r="D1316" t="s">
        <v>1309</v>
      </c>
      <c r="E1316" t="s">
        <v>8</v>
      </c>
      <c r="F1316" s="1" cm="1">
        <f t="array" ref="F1316">SUMPRODUCT(("T_B_u-BEVELC-S1"=[1]OUT_TransportEnergyCons!$A$3:$A$1000)*1,("Var_Fin"=[1]OUT_TransportEnergyCons!$B$3:$B$1000)*1,ISNUMBER(SEARCH("ELC",[1]OUT_TransportEnergyCons!$C$3:$C$1000))*1,[1]OUT_TransportEnergyCons!D$3:D$1000)</f>
        <v>3.553130742986553E-7</v>
      </c>
      <c r="G1316" s="1" cm="1">
        <f t="array" ref="G1316">SUMPRODUCT(("T_B_u-BEVELC-S1"=[1]OUT_TransportEnergyCons!$A$3:$A$1000)*1,("Var_Fin"=[1]OUT_TransportEnergyCons!$B$3:$B$1000)*1,ISNUMBER(SEARCH("ELC",[1]OUT_TransportEnergyCons!$C$3:$C$1000))*1,[1]OUT_TransportEnergyCons!E$3:E$1000)</f>
        <v>9.3997238340058392E-4</v>
      </c>
      <c r="H1316" s="1" cm="1">
        <f t="array" ref="H1316">SUMPRODUCT(("T_B_u-BEVELC-S1"=[1]OUT_TransportEnergyCons!$A$3:$A$1000)*1,("Var_Fin"=[1]OUT_TransportEnergyCons!$B$3:$B$1000)*1,ISNUMBER(SEARCH("ELC",[1]OUT_TransportEnergyCons!$C$3:$C$1000))*1,[1]OUT_TransportEnergyCons!F$3:F$1000)</f>
        <v>1.807665836861536E-3</v>
      </c>
      <c r="I1316" s="1" cm="1">
        <f t="array" ref="I1316">SUMPRODUCT(("T_B_u-BEVELC-S1"=[1]OUT_TransportEnergyCons!$A$3:$A$1000)*1,("Var_Fin"=[1]OUT_TransportEnergyCons!$B$3:$B$1000)*1,ISNUMBER(SEARCH("ELC",[1]OUT_TransportEnergyCons!$C$3:$C$1000))*1,[1]OUT_TransportEnergyCons!G$3:G$1000)</f>
        <v>0.23686954470865951</v>
      </c>
      <c r="J1316" s="1" cm="1">
        <f t="array" ref="J1316">SUMPRODUCT(("T_B_u-BEVELC-S1"=[1]OUT_TransportEnergyCons!$A$3:$A$1000)*1,("Var_Fin"=[1]OUT_TransportEnergyCons!$B$3:$B$1000)*1,ISNUMBER(SEARCH("ELC",[1]OUT_TransportEnergyCons!$C$3:$C$1000))*1,[1]OUT_TransportEnergyCons!H$3:H$1000)</f>
        <v>0.2509609870462991</v>
      </c>
      <c r="K1316" s="1" cm="1">
        <f t="array" ref="K1316">SUMPRODUCT(("T_B_u-BEVELC-S1"=[1]OUT_TransportEnergyCons!$A$3:$A$1000)*1,("Var_Fin"=[1]OUT_TransportEnergyCons!$B$3:$B$1000)*1,ISNUMBER(SEARCH("ELC",[1]OUT_TransportEnergyCons!$C$3:$C$1000))*1,[1]OUT_TransportEnergyCons!I$3:I$1000)</f>
        <v>0.24178086099697471</v>
      </c>
    </row>
    <row r="1317" spans="2:16" x14ac:dyDescent="0.35">
      <c r="B1317" s="5" t="str">
        <f t="shared" si="833"/>
        <v>SPS1</v>
      </c>
      <c r="C1317" s="5" t="str">
        <f t="shared" si="834"/>
        <v>CH</v>
      </c>
      <c r="D1317" t="s">
        <v>1310</v>
      </c>
      <c r="E1317" t="s">
        <v>8</v>
      </c>
      <c r="F1317" s="1" cm="1">
        <f t="array" ref="F1317">SUMPRODUCT(("T_B_u-BEVELC-S2"=[1]OUT_TransportEnergyCons!$A$3:$A$1000)*1,("Var_Fin"=[1]OUT_TransportEnergyCons!$B$3:$B$1000)*1,ISNUMBER(SEARCH("ELC",[1]OUT_TransportEnergyCons!$C$3:$C$1000))*1,[1]OUT_TransportEnergyCons!D$3:D$1000)</f>
        <v>1.3387073797018203E-3</v>
      </c>
      <c r="G1317" s="1" cm="1">
        <f t="array" ref="G1317">SUMPRODUCT(("T_B_u-BEVELC-S2"=[1]OUT_TransportEnergyCons!$A$3:$A$1000)*1,("Var_Fin"=[1]OUT_TransportEnergyCons!$B$3:$B$1000)*1,ISNUMBER(SEARCH("ELC",[1]OUT_TransportEnergyCons!$C$3:$C$1000))*1,[1]OUT_TransportEnergyCons!E$3:E$1000)</f>
        <v>2.3076505800153184E-3</v>
      </c>
      <c r="H1317" s="1" cm="1">
        <f t="array" ref="H1317">SUMPRODUCT(("T_B_u-BEVELC-S2"=[1]OUT_TransportEnergyCons!$A$3:$A$1000)*1,("Var_Fin"=[1]OUT_TransportEnergyCons!$B$3:$B$1000)*1,ISNUMBER(SEARCH("ELC",[1]OUT_TransportEnergyCons!$C$3:$C$1000))*1,[1]OUT_TransportEnergyCons!F$3:F$1000)</f>
        <v>3.5538341028688984E-3</v>
      </c>
      <c r="I1317" s="1" cm="1">
        <f t="array" ref="I1317">SUMPRODUCT(("T_B_u-BEVELC-S2"=[1]OUT_TransportEnergyCons!$A$3:$A$1000)*1,("Var_Fin"=[1]OUT_TransportEnergyCons!$B$3:$B$1000)*1,ISNUMBER(SEARCH("ELC",[1]OUT_TransportEnergyCons!$C$3:$C$1000))*1,[1]OUT_TransportEnergyCons!G$3:G$1000)</f>
        <v>0.12238296373575498</v>
      </c>
      <c r="J1317" s="1" cm="1">
        <f t="array" ref="J1317">SUMPRODUCT(("T_B_u-BEVELC-S2"=[1]OUT_TransportEnergyCons!$A$3:$A$1000)*1,("Var_Fin"=[1]OUT_TransportEnergyCons!$B$3:$B$1000)*1,ISNUMBER(SEARCH("ELC",[1]OUT_TransportEnergyCons!$C$3:$C$1000))*1,[1]OUT_TransportEnergyCons!H$3:H$1000)</f>
        <v>0.12561650928258078</v>
      </c>
      <c r="K1317" s="1" cm="1">
        <f t="array" ref="K1317">SUMPRODUCT(("T_B_u-BEVELC-S2"=[1]OUT_TransportEnergyCons!$A$3:$A$1000)*1,("Var_Fin"=[1]OUT_TransportEnergyCons!$B$3:$B$1000)*1,ISNUMBER(SEARCH("ELC",[1]OUT_TransportEnergyCons!$C$3:$C$1000))*1,[1]OUT_TransportEnergyCons!I$3:I$1000)</f>
        <v>0.12077926334246364</v>
      </c>
    </row>
    <row r="1318" spans="2:16" x14ac:dyDescent="0.35">
      <c r="B1318" s="5" t="str">
        <f t="shared" si="833"/>
        <v>SPS1</v>
      </c>
      <c r="C1318" s="5" t="str">
        <f t="shared" si="834"/>
        <v>CH</v>
      </c>
      <c r="D1318" t="s">
        <v>1311</v>
      </c>
      <c r="E1318" t="s">
        <v>8</v>
      </c>
      <c r="F1318" s="1" cm="1">
        <f t="array" ref="F1318">SUMPRODUCT(("T_B_u-BEVELC-S3"=[1]OUT_TransportEnergyCons!$A$3:$A$1000)*1,("Var_Fin"=[1]OUT_TransportEnergyCons!$B$3:$B$1000)*1,ISNUMBER(SEARCH("ELC",[1]OUT_TransportEnergyCons!$C$3:$C$1000))*1,[1]OUT_TransportEnergyCons!D$3:D$1000)</f>
        <v>4.5734157300963921E-3</v>
      </c>
      <c r="G1318" s="1" cm="1">
        <f t="array" ref="G1318">SUMPRODUCT(("T_B_u-BEVELC-S3"=[1]OUT_TransportEnergyCons!$A$3:$A$1000)*1,("Var_Fin"=[1]OUT_TransportEnergyCons!$B$3:$B$1000)*1,ISNUMBER(SEARCH("ELC",[1]OUT_TransportEnergyCons!$C$3:$C$1000))*1,[1]OUT_TransportEnergyCons!E$3:E$1000)</f>
        <v>1.0077324805147943E-2</v>
      </c>
      <c r="H1318" s="1" cm="1">
        <f t="array" ref="H1318">SUMPRODUCT(("T_B_u-BEVELC-S3"=[1]OUT_TransportEnergyCons!$A$3:$A$1000)*1,("Var_Fin"=[1]OUT_TransportEnergyCons!$B$3:$B$1000)*1,ISNUMBER(SEARCH("ELC",[1]OUT_TransportEnergyCons!$C$3:$C$1000))*1,[1]OUT_TransportEnergyCons!F$3:F$1000)</f>
        <v>1.1551915930278345E-2</v>
      </c>
      <c r="I1318" s="1" cm="1">
        <f t="array" ref="I1318">SUMPRODUCT(("T_B_u-BEVELC-S3"=[1]OUT_TransportEnergyCons!$A$3:$A$1000)*1,("Var_Fin"=[1]OUT_TransportEnergyCons!$B$3:$B$1000)*1,ISNUMBER(SEARCH("ELC",[1]OUT_TransportEnergyCons!$C$3:$C$1000))*1,[1]OUT_TransportEnergyCons!G$3:G$1000)</f>
        <v>0.80274371980268666</v>
      </c>
      <c r="J1318" s="1" cm="1">
        <f t="array" ref="J1318">SUMPRODUCT(("T_B_u-BEVELC-S3"=[1]OUT_TransportEnergyCons!$A$3:$A$1000)*1,("Var_Fin"=[1]OUT_TransportEnergyCons!$B$3:$B$1000)*1,ISNUMBER(SEARCH("ELC",[1]OUT_TransportEnergyCons!$C$3:$C$1000))*1,[1]OUT_TransportEnergyCons!H$3:H$1000)</f>
        <v>0.80096572274018296</v>
      </c>
      <c r="K1318" s="1" cm="1">
        <f t="array" ref="K1318">SUMPRODUCT(("T_B_u-BEVELC-S3"=[1]OUT_TransportEnergyCons!$A$3:$A$1000)*1,("Var_Fin"=[1]OUT_TransportEnergyCons!$B$3:$B$1000)*1,ISNUMBER(SEARCH("ELC",[1]OUT_TransportEnergyCons!$C$3:$C$1000))*1,[1]OUT_TransportEnergyCons!I$3:I$1000)</f>
        <v>0.7857539591992081</v>
      </c>
    </row>
    <row r="1319" spans="2:16" x14ac:dyDescent="0.35">
      <c r="B1319" s="5" t="str">
        <f t="shared" si="833"/>
        <v>SPS1</v>
      </c>
      <c r="C1319" s="5" t="str">
        <f t="shared" si="834"/>
        <v>CH</v>
      </c>
      <c r="D1319" t="s">
        <v>1312</v>
      </c>
      <c r="E1319" t="s">
        <v>8</v>
      </c>
      <c r="F1319" s="1" cm="1">
        <f t="array" ref="F1319">SUMPRODUCT(("T_B_u-BEVELC-S4"=[1]OUT_TransportEnergyCons!$A$3:$A$1000)*1,("Var_Fin"=[1]OUT_TransportEnergyCons!$B$3:$B$1000)*1,ISNUMBER(SEARCH("ELC",[1]OUT_TransportEnergyCons!$C$3:$C$1000))*1,[1]OUT_TransportEnergyCons!D$3:D$1000)</f>
        <v>1.7534666038241609E-4</v>
      </c>
      <c r="G1319" s="1" cm="1">
        <f t="array" ref="G1319">SUMPRODUCT(("T_B_u-BEVELC-S4"=[1]OUT_TransportEnergyCons!$A$3:$A$1000)*1,("Var_Fin"=[1]OUT_TransportEnergyCons!$B$3:$B$1000)*1,ISNUMBER(SEARCH("ELC",[1]OUT_TransportEnergyCons!$C$3:$C$1000))*1,[1]OUT_TransportEnergyCons!E$3:E$1000)</f>
        <v>1.7058494392679878E-4</v>
      </c>
      <c r="H1319" s="1" cm="1">
        <f t="array" ref="H1319">SUMPRODUCT(("T_B_u-BEVELC-S4"=[1]OUT_TransportEnergyCons!$A$3:$A$1000)*1,("Var_Fin"=[1]OUT_TransportEnergyCons!$B$3:$B$1000)*1,ISNUMBER(SEARCH("ELC",[1]OUT_TransportEnergyCons!$C$3:$C$1000))*1,[1]OUT_TransportEnergyCons!F$3:F$1000)</f>
        <v>2.4530480305545271E-4</v>
      </c>
      <c r="I1319" s="1" cm="1">
        <f t="array" ref="I1319">SUMPRODUCT(("T_B_u-BEVELC-S4"=[1]OUT_TransportEnergyCons!$A$3:$A$1000)*1,("Var_Fin"=[1]OUT_TransportEnergyCons!$B$3:$B$1000)*1,ISNUMBER(SEARCH("ELC",[1]OUT_TransportEnergyCons!$C$3:$C$1000))*1,[1]OUT_TransportEnergyCons!G$3:G$1000)</f>
        <v>2.706306064288121E-2</v>
      </c>
      <c r="J1319" s="1" cm="1">
        <f t="array" ref="J1319">SUMPRODUCT(("T_B_u-BEVELC-S4"=[1]OUT_TransportEnergyCons!$A$3:$A$1000)*1,("Var_Fin"=[1]OUT_TransportEnergyCons!$B$3:$B$1000)*1,ISNUMBER(SEARCH("ELC",[1]OUT_TransportEnergyCons!$C$3:$C$1000))*1,[1]OUT_TransportEnergyCons!H$3:H$1000)</f>
        <v>5.753931982681059E-5</v>
      </c>
      <c r="K1319" s="1" cm="1">
        <f t="array" ref="K1319">SUMPRODUCT(("T_B_u-BEVELC-S4"=[1]OUT_TransportEnergyCons!$A$3:$A$1000)*1,("Var_Fin"=[1]OUT_TransportEnergyCons!$B$3:$B$1000)*1,ISNUMBER(SEARCH("ELC",[1]OUT_TransportEnergyCons!$C$3:$C$1000))*1,[1]OUT_TransportEnergyCons!I$3:I$1000)</f>
        <v>2.9492715453963426E-5</v>
      </c>
    </row>
    <row r="1320" spans="2:16" x14ac:dyDescent="0.35">
      <c r="B1320" s="5" t="str">
        <f t="shared" si="833"/>
        <v>SPS1</v>
      </c>
      <c r="C1320" s="5" t="str">
        <f t="shared" si="834"/>
        <v>CH</v>
      </c>
      <c r="D1320" t="s">
        <v>1313</v>
      </c>
      <c r="E1320" t="s">
        <v>8</v>
      </c>
      <c r="F1320" s="1">
        <f>SUM(F1321:F1324)</f>
        <v>0</v>
      </c>
      <c r="G1320" s="1">
        <f t="shared" ref="G1320:K1320" si="835">SUM(G1321:G1324)</f>
        <v>0</v>
      </c>
      <c r="H1320" s="1">
        <f t="shared" si="835"/>
        <v>0</v>
      </c>
      <c r="I1320" s="1">
        <f t="shared" si="835"/>
        <v>4.7350293566364688E-6</v>
      </c>
      <c r="J1320" s="1">
        <f t="shared" si="835"/>
        <v>1.6113441648736819E-7</v>
      </c>
      <c r="K1320" s="1">
        <f t="shared" si="835"/>
        <v>3.6894118108967119E-6</v>
      </c>
    </row>
    <row r="1321" spans="2:16" x14ac:dyDescent="0.35">
      <c r="B1321" s="5" t="str">
        <f t="shared" si="833"/>
        <v>SPS1</v>
      </c>
      <c r="C1321" s="5" t="str">
        <f t="shared" si="834"/>
        <v>CH</v>
      </c>
      <c r="D1321" t="s">
        <v>1314</v>
      </c>
      <c r="E1321" t="s">
        <v>8</v>
      </c>
      <c r="F1321" s="1" cm="1">
        <f t="array" ref="F1321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1" s="1" cm="1">
        <f t="array" ref="G1321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1" s="1" cm="1">
        <f t="array" ref="H1321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1" s="1" cm="1">
        <f t="array" ref="I1321">SUMPRODUCT(("T_B_u-FCLH2O-S1"=[1]OUT_TransportEnergyCons!$A$3:$A$1000)*1,("Var_Fin"=[1]OUT_TransportEnergyCons!$B$3:$B$1000)*1,ISNUMBER(SEARCH("H2",[1]OUT_TransportEnergyCons!$C$3:$C$1000))*1,[1]OUT_TransportEnergyCons!G$3:G$1000)</f>
        <v>4.7350293566364688E-6</v>
      </c>
      <c r="J1321" s="1" cm="1">
        <f t="array" ref="J1321">SUMPRODUCT(("T_B_u-FCLH2O-S1"=[1]OUT_TransportEnergyCons!$A$3:$A$1000)*1,("Var_Fin"=[1]OUT_TransportEnergyCons!$B$3:$B$1000)*1,ISNUMBER(SEARCH("H2",[1]OUT_TransportEnergyCons!$C$3:$C$1000))*1,[1]OUT_TransportEnergyCons!H$3:H$1000)</f>
        <v>1.6113441648736819E-7</v>
      </c>
      <c r="K1321" s="1" cm="1">
        <f t="array" ref="K1321">SUMPRODUCT(("T_B_u-FCLH2O-S1"=[1]OUT_TransportEnergyCons!$A$3:$A$1000)*1,("Var_Fin"=[1]OUT_TransportEnergyCons!$B$3:$B$1000)*1,ISNUMBER(SEARCH("H2",[1]OUT_TransportEnergyCons!$C$3:$C$1000))*1,[1]OUT_TransportEnergyCons!I$3:I$1000)</f>
        <v>9.9290222572173901E-8</v>
      </c>
    </row>
    <row r="1322" spans="2:16" x14ac:dyDescent="0.35">
      <c r="B1322" s="5" t="str">
        <f t="shared" si="833"/>
        <v>SPS1</v>
      </c>
      <c r="C1322" s="5" t="str">
        <f t="shared" si="834"/>
        <v>CH</v>
      </c>
      <c r="D1322" t="s">
        <v>1315</v>
      </c>
      <c r="E1322" t="s">
        <v>8</v>
      </c>
      <c r="F1322" s="1" cm="1">
        <f t="array" ref="F1322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2" s="1" cm="1">
        <f t="array" ref="G1322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2" s="1" cm="1">
        <f t="array" ref="H1322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2" s="1" cm="1">
        <f t="array" ref="I1322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2" s="1" cm="1">
        <f t="array" ref="J1322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2" s="1" cm="1">
        <f t="array" ref="K1322">SUMPRODUCT(("T_B_u-FCLH2O-S2"=[1]OUT_TransportEnergyCons!$A$3:$A$1000)*1,("Var_Fin"=[1]OUT_TransportEnergyCons!$B$3:$B$1000)*1,ISNUMBER(SEARCH("H2",[1]OUT_TransportEnergyCons!$C$3:$C$1000))*1,[1]OUT_TransportEnergyCons!I$3:I$1000)</f>
        <v>0</v>
      </c>
    </row>
    <row r="1323" spans="2:16" x14ac:dyDescent="0.35">
      <c r="B1323" s="5" t="str">
        <f t="shared" si="833"/>
        <v>SPS1</v>
      </c>
      <c r="C1323" s="5" t="str">
        <f t="shared" si="834"/>
        <v>CH</v>
      </c>
      <c r="D1323" t="s">
        <v>1316</v>
      </c>
      <c r="E1323" t="s">
        <v>8</v>
      </c>
      <c r="F1323" s="1" cm="1">
        <f t="array" ref="F1323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3" s="1" cm="1">
        <f t="array" ref="K1323">SUMPRODUCT(("T_B_u-FCLH2O-S3"=[1]OUT_TransportEnergyCons!$A$3:$A$1000)*1,("Var_Fin"=[1]OUT_TransportEnergyCons!$B$3:$B$1000)*1,ISNUMBER(SEARCH("H2",[1]OUT_TransportEnergyCons!$C$3:$C$1000))*1,[1]OUT_TransportEnergyCons!I$3:I$1000)</f>
        <v>3.5901215883245378E-6</v>
      </c>
    </row>
    <row r="1324" spans="2:16" x14ac:dyDescent="0.35">
      <c r="B1324" s="5" t="str">
        <f t="shared" si="833"/>
        <v>SPS1</v>
      </c>
      <c r="C1324" s="5" t="str">
        <f t="shared" si="834"/>
        <v>CH</v>
      </c>
      <c r="D1324" t="s">
        <v>1317</v>
      </c>
      <c r="E1324" t="s">
        <v>8</v>
      </c>
      <c r="F1324" s="1" cm="1">
        <f t="array" ref="F1324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SUMPRODUCT(("T_B_u-FCLH2O-S4"=[1]OUT_TransportEnergyCons!$A$3:$A$1000)*1,("Var_Fin"=[1]OUT_TransportEnergyCons!$B$3:$B$1000)*1,ISNUMBER(SEARCH("H2",[1]OUT_TransportEnergyCons!$C$3:$C$1000))*1,[1]OUT_TransportEnergyCons!I$3:I$1000)</f>
        <v>0</v>
      </c>
    </row>
    <row r="1325" spans="2:16" x14ac:dyDescent="0.35">
      <c r="B1325" s="5" t="str">
        <f t="shared" si="833"/>
        <v>SPS1</v>
      </c>
      <c r="C1325" s="5" t="str">
        <f t="shared" si="834"/>
        <v>CH</v>
      </c>
      <c r="D1325" t="s">
        <v>1318</v>
      </c>
      <c r="E1325" t="s">
        <v>8</v>
      </c>
      <c r="F1325" s="1">
        <f>SUM(F1330:F1338)</f>
        <v>0.74807526204498531</v>
      </c>
      <c r="G1325" s="1">
        <f t="shared" ref="G1325:K1325" si="836">SUM(G1330:G1338)</f>
        <v>1.317005073151464</v>
      </c>
      <c r="H1325" s="1">
        <f t="shared" si="836"/>
        <v>2.2951605675634128</v>
      </c>
      <c r="I1325" s="1">
        <f t="shared" si="836"/>
        <v>4.5363332933773357E-5</v>
      </c>
      <c r="J1325" s="1">
        <f t="shared" si="836"/>
        <v>0</v>
      </c>
      <c r="K1325" s="1">
        <f t="shared" si="836"/>
        <v>0</v>
      </c>
    </row>
    <row r="1326" spans="2:16" x14ac:dyDescent="0.35">
      <c r="B1326" s="5" t="str">
        <f t="shared" si="833"/>
        <v>SPS1</v>
      </c>
      <c r="C1326" s="5" t="str">
        <f t="shared" si="834"/>
        <v>CH</v>
      </c>
      <c r="D1326" t="s">
        <v>1319</v>
      </c>
      <c r="E1326" t="s">
        <v>8</v>
      </c>
      <c r="F1326" s="1">
        <f>F1325-F1327</f>
        <v>0.72948649988575187</v>
      </c>
      <c r="G1326" s="1">
        <f t="shared" ref="G1326:K1326" si="837">G1325-G1327</f>
        <v>1.2826829702328284</v>
      </c>
      <c r="H1326" s="1">
        <f t="shared" si="837"/>
        <v>2.1921634276784423</v>
      </c>
      <c r="I1326" s="1">
        <f t="shared" si="837"/>
        <v>4.2908763557557801E-5</v>
      </c>
      <c r="J1326" s="1">
        <f t="shared" si="837"/>
        <v>0</v>
      </c>
      <c r="K1326" s="1">
        <f t="shared" si="837"/>
        <v>0</v>
      </c>
    </row>
    <row r="1327" spans="2:16" x14ac:dyDescent="0.35">
      <c r="B1327" s="5" t="str">
        <f t="shared" si="833"/>
        <v>SPS1</v>
      </c>
      <c r="C1327" s="5" t="str">
        <f t="shared" si="834"/>
        <v>CH</v>
      </c>
      <c r="D1327" t="s">
        <v>1320</v>
      </c>
      <c r="E1327" t="s">
        <v>8</v>
      </c>
      <c r="F1327" s="1">
        <f>SUM(F1328:F1329)</f>
        <v>1.8588762159233423E-2</v>
      </c>
      <c r="G1327" s="1">
        <f t="shared" ref="G1327" si="838">SUM(G1328:G1329)</f>
        <v>3.4322102918635522E-2</v>
      </c>
      <c r="H1327" s="1">
        <f t="shared" ref="H1327" si="839">SUM(H1328:H1329)</f>
        <v>0.10299713988497061</v>
      </c>
      <c r="I1327" s="1">
        <f t="shared" ref="I1327" si="840">SUM(I1328:I1329)</f>
        <v>2.454569376215553E-6</v>
      </c>
      <c r="J1327" s="1">
        <f t="shared" ref="J1327" si="841">SUM(J1328:J1329)</f>
        <v>0</v>
      </c>
      <c r="K1327" s="1">
        <f t="shared" ref="K1327" si="842">SUM(K1328:K1329)</f>
        <v>0</v>
      </c>
    </row>
    <row r="1328" spans="2:16" x14ac:dyDescent="0.35">
      <c r="B1328" s="5" t="str">
        <f t="shared" si="833"/>
        <v>SPS1</v>
      </c>
      <c r="C1328" s="5" t="str">
        <f t="shared" si="834"/>
        <v>CH</v>
      </c>
      <c r="D1328" t="s">
        <v>1322</v>
      </c>
      <c r="E1328" t="s">
        <v>8</v>
      </c>
      <c r="F1328" s="1">
        <f>[1]Transport!B$26/SUM([1]Transport!B$22,[1]Transport!B$26)*F1325*(F$33+F$580)/(F$33+F$580+F$36)</f>
        <v>1.8588762159233423E-2</v>
      </c>
      <c r="G1328" s="1">
        <f>[1]Transport!C$26/SUM([1]Transport!C$22,[1]Transport!C$26)*G1325*(G$33+G$580)/(G$33+G$580+G$36)</f>
        <v>3.4322102918635522E-2</v>
      </c>
      <c r="H1328" s="1">
        <f>[1]Transport!D$26/SUM([1]Transport!D$22,[1]Transport!D$26)*H1325*(H$33+H$580)/(H$33+H$580+H$36)</f>
        <v>0.10299713988497061</v>
      </c>
      <c r="I1328" s="1">
        <f>[1]Transport!E$26/SUM([1]Transport!E$22,[1]Transport!E$26)*I1325*(I$33+I$580)/(I$33+I$580+I$36)</f>
        <v>2.454569376215553E-6</v>
      </c>
      <c r="J1328" s="1">
        <f>[1]Transport!F$26/SUM([1]Transport!F$22,[1]Transport!F$26)*J1325*(J$33+J$580)/(J$33+J$580+J$36)</f>
        <v>0</v>
      </c>
      <c r="K1328" s="1">
        <f>[1]Transport!G$26/SUM([1]Transport!G$22,[1]Transport!G$26)*K1325*(K$33+K$580)/(K$33+K$580+K$36)</f>
        <v>0</v>
      </c>
    </row>
    <row r="1329" spans="2:11" x14ac:dyDescent="0.35">
      <c r="B1329" s="5" t="str">
        <f t="shared" si="833"/>
        <v>SPS1</v>
      </c>
      <c r="C1329" s="5" t="str">
        <f t="shared" si="834"/>
        <v>CH</v>
      </c>
      <c r="D1329" t="s">
        <v>1321</v>
      </c>
      <c r="E1329" t="s">
        <v>8</v>
      </c>
      <c r="F1329" s="1">
        <f>(F$36+F$716)/([1]Transport!B$22+[1]Transport!B$26)*F1325</f>
        <v>0</v>
      </c>
      <c r="G1329" s="1">
        <f>(G$36+G$716)/([1]Transport!C$22+[1]Transport!C$26)*G1325</f>
        <v>0</v>
      </c>
      <c r="H1329" s="1">
        <f>(H$36+H$716)/([1]Transport!D$22+[1]Transport!D$26)*H1325</f>
        <v>0</v>
      </c>
      <c r="I1329" s="1">
        <f>(I$36+I$716)/([1]Transport!E$22+[1]Transport!E$26)*I1325</f>
        <v>0</v>
      </c>
      <c r="J1329" s="1">
        <f>(J$36+J$716)/([1]Transport!F$22+[1]Transport!F$26)*J1325</f>
        <v>0</v>
      </c>
      <c r="K1329" s="1">
        <f>(K$36+K$716)/([1]Transport!G$22+[1]Transport!G$26)*K1325</f>
        <v>0</v>
      </c>
    </row>
    <row r="1330" spans="2:11" x14ac:dyDescent="0.35">
      <c r="B1330" s="5" t="str">
        <f t="shared" si="833"/>
        <v>SPS1</v>
      </c>
      <c r="C1330" s="5" t="str">
        <f t="shared" si="834"/>
        <v>CH</v>
      </c>
      <c r="D1330" t="s">
        <v>1323</v>
      </c>
      <c r="E1330" t="s">
        <v>8</v>
      </c>
      <c r="F1330" s="1" cm="1">
        <f t="array" ref="F1330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0" s="1" cm="1">
        <f t="array" ref="G1330">SUMPRODUCT(("T_B_u-HYBDSL-S1"=[1]OUT_TransportEnergyCons!$A$3:$A$1000)*1,("Var_Fin"=[1]OUT_TransportEnergyCons!$B$3:$B$1000)*1,ISNUMBER(SEARCH("DSL",[1]OUT_TransportEnergyCons!$C$3:$C$1000))*1,[1]OUT_TransportEnergyCons!E$3:E$1000)</f>
        <v>5.4329698418059208E-2</v>
      </c>
      <c r="H1330" s="1" cm="1">
        <f t="array" ref="H1330">SUMPRODUCT(("T_B_u-HYBDSL-S1"=[1]OUT_TransportEnergyCons!$A$3:$A$1000)*1,("Var_Fin"=[1]OUT_TransportEnergyCons!$B$3:$B$1000)*1,ISNUMBER(SEARCH("DSL",[1]OUT_TransportEnergyCons!$C$3:$C$1000))*1,[1]OUT_TransportEnergyCons!F$3:F$1000)</f>
        <v>5.4579134550852337E-2</v>
      </c>
      <c r="I1330" s="1" cm="1">
        <f t="array" ref="I1330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0" s="1" cm="1">
        <f t="array" ref="J1330">SUMPRODUCT(("T_B_u-HYBDSL-S1"=[1]OUT_TransportEnergyCons!$A$3:$A$1000)*1,("Var_Fin"=[1]OUT_TransportEnergyCons!$B$3:$B$1000)*1,ISNUMBER(SEARCH("DSL",[1]OUT_TransportEnergyCons!$C$3:$C$1000))*1,[1]OUT_TransportEnergyCons!H$3:H$1000)</f>
        <v>0</v>
      </c>
      <c r="K1330" s="1" cm="1">
        <f t="array" ref="K1330">SUMPRODUCT(("T_B_u-HYBDSL-S1"=[1]OUT_TransportEnergyCons!$A$3:$A$1000)*1,("Var_Fin"=[1]OUT_TransportEnergyCons!$B$3:$B$1000)*1,ISNUMBER(SEARCH("DSL",[1]OUT_TransportEnergyCons!$C$3:$C$1000))*1,[1]OUT_TransportEnergyCons!I$3:I$1000)</f>
        <v>0</v>
      </c>
    </row>
    <row r="1331" spans="2:11" x14ac:dyDescent="0.35">
      <c r="B1331" s="5" t="str">
        <f t="shared" si="833"/>
        <v>SPS1</v>
      </c>
      <c r="C1331" s="5" t="str">
        <f t="shared" si="834"/>
        <v>CH</v>
      </c>
      <c r="D1331" t="s">
        <v>1324</v>
      </c>
      <c r="E1331" t="s">
        <v>8</v>
      </c>
      <c r="F1331" s="1" cm="1">
        <f t="array" ref="F1331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1" s="1" cm="1">
        <f t="array" ref="G1331">SUMPRODUCT(("T_B_u-HYBDSL-S2"=[1]OUT_TransportEnergyCons!$A$3:$A$1000)*1,("Var_Fin"=[1]OUT_TransportEnergyCons!$B$3:$B$1000)*1,ISNUMBER(SEARCH("DSL",[1]OUT_TransportEnergyCons!$C$3:$C$1000))*1,[1]OUT_TransportEnergyCons!E$3:E$1000)</f>
        <v>3.0353313905468555E-4</v>
      </c>
      <c r="H1331" s="1" cm="1">
        <f t="array" ref="H1331">SUMPRODUCT(("T_B_u-HYBDSL-S2"=[1]OUT_TransportEnergyCons!$A$3:$A$1000)*1,("Var_Fin"=[1]OUT_TransportEnergyCons!$B$3:$B$1000)*1,ISNUMBER(SEARCH("DSL",[1]OUT_TransportEnergyCons!$C$3:$C$1000))*1,[1]OUT_TransportEnergyCons!F$3:F$1000)</f>
        <v>4.3548250371255181E-4</v>
      </c>
      <c r="I1331" s="1" cm="1">
        <f t="array" ref="I1331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1" s="1" cm="1">
        <f t="array" ref="J1331">SUMPRODUCT(("T_B_u-HYBDSL-S2"=[1]OUT_TransportEnergyCons!$A$3:$A$1000)*1,("Var_Fin"=[1]OUT_TransportEnergyCons!$B$3:$B$1000)*1,ISNUMBER(SEARCH("DSL",[1]OUT_TransportEnergyCons!$C$3:$C$1000))*1,[1]OUT_TransportEnergyCons!H$3:H$1000)</f>
        <v>0</v>
      </c>
      <c r="K1331" s="1" cm="1">
        <f t="array" ref="K1331">SUMPRODUCT(("T_B_u-HYBDSL-S2"=[1]OUT_TransportEnergyCons!$A$3:$A$1000)*1,("Var_Fin"=[1]OUT_TransportEnergyCons!$B$3:$B$1000)*1,ISNUMBER(SEARCH("DSL",[1]OUT_TransportEnergyCons!$C$3:$C$1000))*1,[1]OUT_TransportEnergyCons!I$3:I$1000)</f>
        <v>0</v>
      </c>
    </row>
    <row r="1332" spans="2:11" x14ac:dyDescent="0.35">
      <c r="B1332" s="5" t="str">
        <f t="shared" si="833"/>
        <v>SPS1</v>
      </c>
      <c r="C1332" s="5" t="str">
        <f t="shared" si="834"/>
        <v>CH</v>
      </c>
      <c r="D1332" t="s">
        <v>1325</v>
      </c>
      <c r="E1332" t="s">
        <v>8</v>
      </c>
      <c r="F1332" s="1" cm="1">
        <f t="array" ref="F1332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SUMPRODUCT(("T_B_u-HYBDSL-S3"=[1]OUT_TransportEnergyCons!$A$3:$A$1000)*1,("Var_Fin"=[1]OUT_TransportEnergyCons!$B$3:$B$1000)*1,ISNUMBER(SEARCH("DSL",[1]OUT_TransportEnergyCons!$C$3:$C$1000))*1,[1]OUT_TransportEnergyCons!E$3:E$1000)</f>
        <v>3.5267454127324826E-4</v>
      </c>
      <c r="H1332" s="1" cm="1">
        <f t="array" ref="H1332">SUMPRODUCT(("T_B_u-HYBDSL-S3"=[1]OUT_TransportEnergyCons!$A$3:$A$1000)*1,("Var_Fin"=[1]OUT_TransportEnergyCons!$B$3:$B$1000)*1,ISNUMBER(SEARCH("DSL",[1]OUT_TransportEnergyCons!$C$3:$C$1000))*1,[1]OUT_TransportEnergyCons!F$3:F$1000)</f>
        <v>4.7608001507505913E-4</v>
      </c>
      <c r="I1332" s="1" cm="1">
        <f t="array" ref="I1332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SUMPRODUCT(("T_B_u-HYBDSL-S3"=[1]OUT_TransportEnergyCons!$A$3:$A$1000)*1,("Var_Fin"=[1]OUT_TransportEnergyCons!$B$3:$B$1000)*1,ISNUMBER(SEARCH("DSL",[1]OUT_TransportEnergyCons!$C$3:$C$1000))*1,[1]OUT_TransportEnergyCons!H$3:H$1000)</f>
        <v>0</v>
      </c>
      <c r="K1332" s="1" cm="1">
        <f t="array" ref="K1332">SUMPRODUCT(("T_B_u-HYBDSL-S3"=[1]OUT_TransportEnergyCons!$A$3:$A$1000)*1,("Var_Fin"=[1]OUT_TransportEnergyCons!$B$3:$B$1000)*1,ISNUMBER(SEARCH("DSL",[1]OUT_TransportEnergyCons!$C$3:$C$1000))*1,[1]OUT_TransportEnergyCons!I$3:I$1000)</f>
        <v>0</v>
      </c>
    </row>
    <row r="1333" spans="2:11" x14ac:dyDescent="0.35">
      <c r="B1333" s="5" t="str">
        <f t="shared" si="833"/>
        <v>SPS1</v>
      </c>
      <c r="C1333" s="5" t="str">
        <f t="shared" si="834"/>
        <v>CH</v>
      </c>
      <c r="D1333" t="s">
        <v>1326</v>
      </c>
      <c r="E1333" t="s">
        <v>8</v>
      </c>
      <c r="F1333" s="1" cm="1">
        <f t="array" ref="F1333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SUMPRODUCT(("T_B_u-HYBDSL-S4"=[1]OUT_TransportEnergyCons!$A$3:$A$1000)*1,("Var_Fin"=[1]OUT_TransportEnergyCons!$B$3:$B$1000)*1,ISNUMBER(SEARCH("DSL",[1]OUT_TransportEnergyCons!$C$3:$C$1000))*1,[1]OUT_TransportEnergyCons!E$3:E$1000)</f>
        <v>0</v>
      </c>
      <c r="H1333" s="1" cm="1">
        <f t="array" ref="H1333">SUMPRODUCT(("T_B_u-HYBDSL-S4"=[1]OUT_TransportEnergyCons!$A$3:$A$1000)*1,("Var_Fin"=[1]OUT_TransportEnergyCons!$B$3:$B$1000)*1,ISNUMBER(SEARCH("DSL",[1]OUT_TransportEnergyCons!$C$3:$C$1000))*1,[1]OUT_TransportEnergyCons!F$3:F$1000)</f>
        <v>0</v>
      </c>
      <c r="I1333" s="1" cm="1">
        <f t="array" ref="I1333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SUMPRODUCT(("T_B_u-HYBDSL-S4"=[1]OUT_TransportEnergyCons!$A$3:$A$1000)*1,("Var_Fin"=[1]OUT_TransportEnergyCons!$B$3:$B$1000)*1,ISNUMBER(SEARCH("DSL",[1]OUT_TransportEnergyCons!$C$3:$C$1000))*1,[1]OUT_TransportEnergyCons!H$3:H$1000)</f>
        <v>0</v>
      </c>
      <c r="K1333" s="1" cm="1">
        <f t="array" ref="K1333">SUMPRODUCT(("T_B_u-HYBDSL-S4"=[1]OUT_TransportEnergyCons!$A$3:$A$1000)*1,("Var_Fin"=[1]OUT_TransportEnergyCons!$B$3:$B$1000)*1,ISNUMBER(SEARCH("DSL",[1]OUT_TransportEnergyCons!$C$3:$C$1000))*1,[1]OUT_TransportEnergyCons!I$3:I$1000)</f>
        <v>0</v>
      </c>
    </row>
    <row r="1334" spans="2:11" x14ac:dyDescent="0.35">
      <c r="B1334" s="5" t="str">
        <f t="shared" si="833"/>
        <v>SPS1</v>
      </c>
      <c r="C1334" s="5" t="str">
        <f t="shared" si="834"/>
        <v>CH</v>
      </c>
      <c r="D1334" t="s">
        <v>2001</v>
      </c>
      <c r="E1334" t="s">
        <v>8</v>
      </c>
      <c r="F1334" s="1" cm="1">
        <f t="array" ref="F1334">SUMPRODUCT(("T_B_u-ICEDSLEXT"=[1]OUT_TransportEnergyCons!$A$3:$A$1000)*1,("Var_Fin"=[1]OUT_TransportEnergyCons!$B$3:$B$1000)*1,ISNUMBER(SEARCH("DSL",[1]OUT_TransportEnergyCons!$C$3:$C$1000))*1,[1]OUT_TransportEnergyCons!D$3:D$1000)</f>
        <v>1.733940212004435E-2</v>
      </c>
      <c r="G1334" s="1" cm="1">
        <f t="array" ref="G1334">SUMPRODUCT(("T_B_u-ICEDSLEXT"=[1]OUT_TransportEnergyCons!$A$3:$A$1000)*1,("Var_Fin"=[1]OUT_TransportEnergyCons!$B$3:$B$1000)*1,ISNUMBER(SEARCH("DSL",[1]OUT_TransportEnergyCons!$C$3:$C$1000))*1,[1]OUT_TransportEnergyCons!E$3:E$1000)</f>
        <v>1.7318259703076547E-2</v>
      </c>
      <c r="H1334" s="1" cm="1">
        <f t="array" ref="H1334">SUMPRODUCT(("T_B_u-ICEDSLEXT"=[1]OUT_TransportEnergyCons!$A$3:$A$1000)*1,("Var_Fin"=[1]OUT_TransportEnergyCons!$B$3:$B$1000)*1,ISNUMBER(SEARCH("DSL",[1]OUT_TransportEnergyCons!$C$3:$C$1000))*1,[1]OUT_TransportEnergyCons!F$3:F$1000)</f>
        <v>1.7250400608509037E-2</v>
      </c>
      <c r="I1334" s="1" cm="1">
        <f t="array" ref="I1334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4" s="1" cm="1">
        <f t="array" ref="K1334">SUMPRODUCT(("T_B_u-ICEDSLEXT"=[1]OUT_TransportEnergyCons!$A$3:$A$1000)*1,("Var_Fin"=[1]OUT_TransportEnergyCons!$B$3:$B$1000)*1,ISNUMBER(SEARCH("DSL",[1]OUT_TransportEnergyCons!$C$3:$C$1000))*1,[1]OUT_TransportEnergyCons!I$3:I$1000)</f>
        <v>0</v>
      </c>
    </row>
    <row r="1335" spans="2:11" x14ac:dyDescent="0.35">
      <c r="B1335" s="5" t="str">
        <f t="shared" si="833"/>
        <v>SPS1</v>
      </c>
      <c r="C1335" s="5" t="str">
        <f t="shared" si="834"/>
        <v>CH</v>
      </c>
      <c r="D1335" t="s">
        <v>1327</v>
      </c>
      <c r="E1335" t="s">
        <v>8</v>
      </c>
      <c r="F1335" s="1" cm="1">
        <f t="array" ref="F1335">SUMPRODUCT(("T_B_u-ICEDSL-S1"=[1]OUT_TransportEnergyCons!$A$3:$A$1000)*1,("Var_Fin"=[1]OUT_TransportEnergyCons!$B$3:$B$1000)*1,ISNUMBER(SEARCH("DSL",[1]OUT_TransportEnergyCons!$C$3:$C$1000))*1,[1]OUT_TransportEnergyCons!D$3:D$1000)</f>
        <v>2.7983716473118568E-4</v>
      </c>
      <c r="G1335" s="1" cm="1">
        <f t="array" ref="G1335">SUMPRODUCT(("T_B_u-ICEDSL-S1"=[1]OUT_TransportEnergyCons!$A$3:$A$1000)*1,("Var_Fin"=[1]OUT_TransportEnergyCons!$B$3:$B$1000)*1,ISNUMBER(SEARCH("DSL",[1]OUT_TransportEnergyCons!$C$3:$C$1000))*1,[1]OUT_TransportEnergyCons!E$3:E$1000)</f>
        <v>0.19881057201479393</v>
      </c>
      <c r="H1335" s="1" cm="1">
        <f t="array" ref="H1335">SUMPRODUCT(("T_B_u-ICEDSL-S1"=[1]OUT_TransportEnergyCons!$A$3:$A$1000)*1,("Var_Fin"=[1]OUT_TransportEnergyCons!$B$3:$B$1000)*1,ISNUMBER(SEARCH("DSL",[1]OUT_TransportEnergyCons!$C$3:$C$1000))*1,[1]OUT_TransportEnergyCons!F$3:F$1000)</f>
        <v>0.40286633269196914</v>
      </c>
      <c r="I1335" s="1" cm="1">
        <f t="array" ref="I1335">SUMPRODUCT(("T_B_u-ICEDSL-S1"=[1]OUT_TransportEnergyCons!$A$3:$A$1000)*1,("Var_Fin"=[1]OUT_TransportEnergyCons!$B$3:$B$1000)*1,ISNUMBER(SEARCH("DSL",[1]OUT_TransportEnergyCons!$C$3:$C$1000))*1,[1]OUT_TransportEnergyCons!G$3:G$1000)</f>
        <v>4.5363332933773357E-5</v>
      </c>
      <c r="J1335" s="1" cm="1">
        <f t="array" ref="J1335">SUMPRODUCT(("T_B_u-ICEDSL-S1"=[1]OUT_TransportEnergyCons!$A$3:$A$1000)*1,("Var_Fin"=[1]OUT_TransportEnergyCons!$B$3:$B$1000)*1,ISNUMBER(SEARCH("DSL",[1]OUT_TransportEnergyCons!$C$3:$C$1000))*1,[1]OUT_TransportEnergyCons!H$3:H$1000)</f>
        <v>0</v>
      </c>
      <c r="K1335" s="1" cm="1">
        <f t="array" ref="K1335">SUMPRODUCT(("T_B_u-ICEDSL-S1"=[1]OUT_TransportEnergyCons!$A$3:$A$1000)*1,("Var_Fin"=[1]OUT_TransportEnergyCons!$B$3:$B$1000)*1,ISNUMBER(SEARCH("DSL",[1]OUT_TransportEnergyCons!$C$3:$C$1000))*1,[1]OUT_TransportEnergyCons!I$3:I$1000)</f>
        <v>0</v>
      </c>
    </row>
    <row r="1336" spans="2:11" x14ac:dyDescent="0.35">
      <c r="B1336" s="5" t="str">
        <f t="shared" si="833"/>
        <v>SPS1</v>
      </c>
      <c r="C1336" s="5" t="str">
        <f t="shared" si="834"/>
        <v>CH</v>
      </c>
      <c r="D1336" t="s">
        <v>1328</v>
      </c>
      <c r="E1336" t="s">
        <v>8</v>
      </c>
      <c r="F1336" s="1" cm="1">
        <f t="array" ref="F1336">SUMPRODUCT(("T_B_u-ICEDSL-S2"=[1]OUT_TransportEnergyCons!$A$3:$A$1000)*1,("Var_Fin"=[1]OUT_TransportEnergyCons!$B$3:$B$1000)*1,ISNUMBER(SEARCH("DSL",[1]OUT_TransportEnergyCons!$C$3:$C$1000))*1,[1]OUT_TransportEnergyCons!D$3:D$1000)</f>
        <v>0.11026335561625944</v>
      </c>
      <c r="G1336" s="1" cm="1">
        <f t="array" ref="G1336">SUMPRODUCT(("T_B_u-ICEDSL-S2"=[1]OUT_TransportEnergyCons!$A$3:$A$1000)*1,("Var_Fin"=[1]OUT_TransportEnergyCons!$B$3:$B$1000)*1,ISNUMBER(SEARCH("DSL",[1]OUT_TransportEnergyCons!$C$3:$C$1000))*1,[1]OUT_TransportEnergyCons!E$3:E$1000)</f>
        <v>0.13528057545728298</v>
      </c>
      <c r="H1336" s="1" cm="1">
        <f t="array" ref="H1336">SUMPRODUCT(("T_B_u-ICEDSL-S2"=[1]OUT_TransportEnergyCons!$A$3:$A$1000)*1,("Var_Fin"=[1]OUT_TransportEnergyCons!$B$3:$B$1000)*1,ISNUMBER(SEARCH("DSL",[1]OUT_TransportEnergyCons!$C$3:$C$1000))*1,[1]OUT_TransportEnergyCons!F$3:F$1000)</f>
        <v>0.23711175807393425</v>
      </c>
      <c r="I1336" s="1" cm="1">
        <f t="array" ref="I1336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SUMPRODUCT(("T_B_u-ICEDSL-S2"=[1]OUT_TransportEnergyCons!$A$3:$A$1000)*1,("Var_Fin"=[1]OUT_TransportEnergyCons!$B$3:$B$1000)*1,ISNUMBER(SEARCH("DSL",[1]OUT_TransportEnergyCons!$C$3:$C$1000))*1,[1]OUT_TransportEnergyCons!I$3:I$1000)</f>
        <v>0</v>
      </c>
    </row>
    <row r="1337" spans="2:11" x14ac:dyDescent="0.35">
      <c r="B1337" s="5" t="str">
        <f t="shared" si="833"/>
        <v>SPS1</v>
      </c>
      <c r="C1337" s="5" t="str">
        <f t="shared" si="834"/>
        <v>CH</v>
      </c>
      <c r="D1337" t="s">
        <v>1329</v>
      </c>
      <c r="E1337" t="s">
        <v>8</v>
      </c>
      <c r="F1337" s="1" cm="1">
        <f t="array" ref="F1337">SUMPRODUCT(("T_B_u-ICEDSL-S3"=[1]OUT_TransportEnergyCons!$A$3:$A$1000)*1,("Var_Fin"=[1]OUT_TransportEnergyCons!$B$3:$B$1000)*1,ISNUMBER(SEARCH("DSL",[1]OUT_TransportEnergyCons!$C$3:$C$1000))*1,[1]OUT_TransportEnergyCons!D$3:D$1000)</f>
        <v>0.61704913516710291</v>
      </c>
      <c r="G1337" s="1" cm="1">
        <f t="array" ref="G1337">SUMPRODUCT(("T_B_u-ICEDSL-S3"=[1]OUT_TransportEnergyCons!$A$3:$A$1000)*1,("Var_Fin"=[1]OUT_TransportEnergyCons!$B$3:$B$1000)*1,ISNUMBER(SEARCH("DSL",[1]OUT_TransportEnergyCons!$C$3:$C$1000))*1,[1]OUT_TransportEnergyCons!E$3:E$1000)</f>
        <v>0.91060975987792347</v>
      </c>
      <c r="H1337" s="1" cm="1">
        <f t="array" ref="H1337">SUMPRODUCT(("T_B_u-ICEDSL-S3"=[1]OUT_TransportEnergyCons!$A$3:$A$1000)*1,("Var_Fin"=[1]OUT_TransportEnergyCons!$B$3:$B$1000)*1,ISNUMBER(SEARCH("DSL",[1]OUT_TransportEnergyCons!$C$3:$C$1000))*1,[1]OUT_TransportEnergyCons!F$3:F$1000)</f>
        <v>1.5823348346689801</v>
      </c>
      <c r="I1337" s="1" cm="1">
        <f t="array" ref="I1337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7" s="1" cm="1">
        <f t="array" ref="J1337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SUMPRODUCT(("T_B_u-ICEDSL-S3"=[1]OUT_TransportEnergyCons!$A$3:$A$1000)*1,("Var_Fin"=[1]OUT_TransportEnergyCons!$B$3:$B$1000)*1,ISNUMBER(SEARCH("DSL",[1]OUT_TransportEnergyCons!$C$3:$C$1000))*1,[1]OUT_TransportEnergyCons!I$3:I$1000)</f>
        <v>0</v>
      </c>
    </row>
    <row r="1338" spans="2:11" x14ac:dyDescent="0.35">
      <c r="B1338" s="5" t="str">
        <f t="shared" si="833"/>
        <v>SPS1</v>
      </c>
      <c r="C1338" s="5" t="str">
        <f t="shared" si="834"/>
        <v>CH</v>
      </c>
      <c r="D1338" t="s">
        <v>1330</v>
      </c>
      <c r="E1338" t="s">
        <v>8</v>
      </c>
      <c r="F1338" s="1" cm="1">
        <f t="array" ref="F1338">SUMPRODUCT(("T_B_u-ICEDSL-S4"=[1]OUT_TransportEnergyCons!$A$3:$A$1000)*1,("Var_Fin"=[1]OUT_TransportEnergyCons!$B$3:$B$1000)*1,ISNUMBER(SEARCH("DSL",[1]OUT_TransportEnergyCons!$C$3:$C$1000))*1,[1]OUT_TransportEnergyCons!D$3:D$1000)</f>
        <v>3.1435319768473935E-3</v>
      </c>
      <c r="G1338" s="1" cm="1">
        <f t="array" ref="G1338">SUMPRODUCT(("T_B_u-ICEDSL-S4"=[1]OUT_TransportEnergyCons!$A$3:$A$1000)*1,("Var_Fin"=[1]OUT_TransportEnergyCons!$B$3:$B$1000)*1,ISNUMBER(SEARCH("DSL",[1]OUT_TransportEnergyCons!$C$3:$C$1000))*1,[1]OUT_TransportEnergyCons!E$3:E$1000)</f>
        <v>0</v>
      </c>
      <c r="H1338" s="1" cm="1">
        <f t="array" ref="H1338">SUMPRODUCT(("T_B_u-ICEDSL-S4"=[1]OUT_TransportEnergyCons!$A$3:$A$1000)*1,("Var_Fin"=[1]OUT_TransportEnergyCons!$B$3:$B$1000)*1,ISNUMBER(SEARCH("DSL",[1]OUT_TransportEnergyCons!$C$3:$C$1000))*1,[1]OUT_TransportEnergyCons!F$3:F$1000)</f>
        <v>1.0654445038043247E-4</v>
      </c>
      <c r="I1338" s="1" cm="1">
        <f t="array" ref="I1338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SUMPRODUCT(("T_B_u-ICEDSL-S4"=[1]OUT_TransportEnergyCons!$A$3:$A$1000)*1,("Var_Fin"=[1]OUT_TransportEnergyCons!$B$3:$B$1000)*1,ISNUMBER(SEARCH("DSL",[1]OUT_TransportEnergyCons!$C$3:$C$1000))*1,[1]OUT_TransportEnergyCons!I$3:I$1000)</f>
        <v>0</v>
      </c>
    </row>
    <row r="1339" spans="2:11" x14ac:dyDescent="0.35">
      <c r="B1339" s="5" t="str">
        <f t="shared" si="833"/>
        <v>SPS1</v>
      </c>
      <c r="C1339" s="5" t="str">
        <f t="shared" si="834"/>
        <v>CH</v>
      </c>
      <c r="D1339" t="s">
        <v>1344</v>
      </c>
      <c r="E1339" t="s">
        <v>8</v>
      </c>
      <c r="F1339" s="1">
        <f>SUM(F1344:F1348)</f>
        <v>3.1647491791459613E-4</v>
      </c>
      <c r="G1339" s="1">
        <f t="shared" ref="G1339:K1339" si="843">SUM(G1344:G1348)</f>
        <v>6.4107483049031827E-4</v>
      </c>
      <c r="H1339" s="1">
        <f t="shared" si="843"/>
        <v>2.9400543329341486E-2</v>
      </c>
      <c r="I1339" s="1">
        <f t="shared" si="843"/>
        <v>1.440731798382415E-6</v>
      </c>
      <c r="J1339" s="1">
        <f t="shared" si="843"/>
        <v>0</v>
      </c>
      <c r="K1339" s="1">
        <f t="shared" si="843"/>
        <v>3.0360814916434599E-5</v>
      </c>
    </row>
    <row r="1340" spans="2:11" x14ac:dyDescent="0.35">
      <c r="B1340" s="5" t="str">
        <f t="shared" si="833"/>
        <v>SPS1</v>
      </c>
      <c r="C1340" s="5" t="str">
        <f t="shared" si="834"/>
        <v>CH</v>
      </c>
      <c r="D1340" t="s">
        <v>1345</v>
      </c>
      <c r="E1340" t="s">
        <v>8</v>
      </c>
      <c r="F1340" s="1">
        <f>F1339-F1341</f>
        <v>2.9279750698542393E-4</v>
      </c>
      <c r="G1340" s="1">
        <f t="shared" ref="G1340:K1340" si="844">G1339-G1341</f>
        <v>5.7906983825478609E-4</v>
      </c>
      <c r="H1340" s="1">
        <f t="shared" si="844"/>
        <v>2.9110999508722174E-2</v>
      </c>
      <c r="I1340" s="1">
        <f t="shared" si="844"/>
        <v>1.4234758301044157E-6</v>
      </c>
      <c r="J1340" s="1">
        <f t="shared" si="844"/>
        <v>0</v>
      </c>
      <c r="K1340" s="1">
        <f t="shared" si="844"/>
        <v>1.2775461752086402E-5</v>
      </c>
    </row>
    <row r="1341" spans="2:11" x14ac:dyDescent="0.35">
      <c r="B1341" s="5" t="str">
        <f t="shared" si="833"/>
        <v>SPS1</v>
      </c>
      <c r="C1341" s="5" t="str">
        <f t="shared" si="834"/>
        <v>CH</v>
      </c>
      <c r="D1341" t="s">
        <v>1346</v>
      </c>
      <c r="E1341" t="s">
        <v>8</v>
      </c>
      <c r="F1341" s="1">
        <f>SUM(F1342:F1343)</f>
        <v>2.3677410929172184E-5</v>
      </c>
      <c r="G1341" s="1">
        <f t="shared" ref="G1341" si="845">SUM(G1342:G1343)</f>
        <v>6.2004992235532193E-5</v>
      </c>
      <c r="H1341" s="1">
        <f t="shared" ref="H1341" si="846">SUM(H1342:H1343)</f>
        <v>2.8954382061931189E-4</v>
      </c>
      <c r="I1341" s="1">
        <f t="shared" ref="I1341" si="847">SUM(I1342:I1343)</f>
        <v>1.7255968277999256E-8</v>
      </c>
      <c r="J1341" s="1">
        <f t="shared" ref="J1341" si="848">SUM(J1342:J1343)</f>
        <v>0</v>
      </c>
      <c r="K1341" s="1">
        <f t="shared" ref="K1341" si="849">SUM(K1342:K1343)</f>
        <v>1.7585353164348198E-5</v>
      </c>
    </row>
    <row r="1342" spans="2:11" x14ac:dyDescent="0.35">
      <c r="B1342" s="5" t="str">
        <f t="shared" si="833"/>
        <v>SPS1</v>
      </c>
      <c r="C1342" s="5" t="str">
        <f t="shared" si="834"/>
        <v>CH</v>
      </c>
      <c r="D1342" t="s">
        <v>1347</v>
      </c>
      <c r="E1342" t="s">
        <v>8</v>
      </c>
      <c r="F1342" s="1">
        <f>[1]Transport!B$27/SUM([1]Transport!B$24,[1]Transport!B$27)*F1339*(F$45+F$612)/(F$45+F$612+F$47)</f>
        <v>2.3677410929172184E-5</v>
      </c>
      <c r="G1342" s="1">
        <f>[1]Transport!C$27/SUM([1]Transport!C$24,[1]Transport!C$27)*G1339*(G$45+G$612)/(G$45+G$612+G$47)</f>
        <v>6.2004992235532193E-5</v>
      </c>
      <c r="H1342" s="1">
        <f>[1]Transport!D$27/SUM([1]Transport!D$24,[1]Transport!D$27)*H1339*(H$45+H$612)/(H$45+H$612+H$47)</f>
        <v>2.8954382061931189E-4</v>
      </c>
      <c r="I1342" s="1">
        <f>[1]Transport!E$27/SUM([1]Transport!E$24,[1]Transport!E$27)*I1339*(I$45+I$612)/(I$45+I$612+I$47)</f>
        <v>1.7255968277999256E-8</v>
      </c>
      <c r="J1342" s="1">
        <f>[1]Transport!F$27/SUM([1]Transport!F$24,[1]Transport!F$27)*J1339*(J$45+J$612)/(J$45+J$612+J$47)</f>
        <v>0</v>
      </c>
      <c r="K1342" s="1">
        <f>[1]Transport!G$27/SUM([1]Transport!G$24,[1]Transport!G$27)*K1339*(K$45+K$612)/(K$45+K$612+K$47)</f>
        <v>5.0369630820662582E-6</v>
      </c>
    </row>
    <row r="1343" spans="2:11" x14ac:dyDescent="0.35">
      <c r="B1343" s="5" t="str">
        <f t="shared" si="833"/>
        <v>SPS1</v>
      </c>
      <c r="C1343" s="5" t="str">
        <f t="shared" si="834"/>
        <v>CH</v>
      </c>
      <c r="D1343" t="s">
        <v>1348</v>
      </c>
      <c r="E1343" t="s">
        <v>8</v>
      </c>
      <c r="F1343" s="1">
        <f>(F$47+F$714)/([1]Transport!B$24+[1]Transport!B$27)*F1339</f>
        <v>0</v>
      </c>
      <c r="G1343" s="1">
        <f>(G$47+G$714)/([1]Transport!C$24+[1]Transport!C$27)*G1339</f>
        <v>0</v>
      </c>
      <c r="H1343" s="1">
        <f>(H$47+H$714)/([1]Transport!D$24+[1]Transport!D$27)*H1339</f>
        <v>0</v>
      </c>
      <c r="I1343" s="1">
        <f>(I$47+I$714)/([1]Transport!E$24+[1]Transport!E$27)*I1339</f>
        <v>0</v>
      </c>
      <c r="J1343" s="1">
        <f>(J$47+J$714)/([1]Transport!F$24+[1]Transport!F$27)*J1339</f>
        <v>0</v>
      </c>
      <c r="K1343" s="1">
        <f>(K$47+K$714)/([1]Transport!G$24+[1]Transport!G$27)*K1339</f>
        <v>1.254839008228194E-5</v>
      </c>
    </row>
    <row r="1344" spans="2:11" x14ac:dyDescent="0.35">
      <c r="B1344" s="5" t="str">
        <f t="shared" si="833"/>
        <v>SPS1</v>
      </c>
      <c r="C1344" s="5" t="str">
        <f t="shared" si="834"/>
        <v>CH</v>
      </c>
      <c r="D1344" t="s">
        <v>2005</v>
      </c>
      <c r="E1344" t="s">
        <v>8</v>
      </c>
      <c r="F1344" s="1" cm="1">
        <f t="array" ref="F1344">SUMPRODUCT(("T_B_u-ICEngaEXT"=[1]OUT_TransportEnergyCons!$A$3:$A$1000)*1,("Var_Fin"=[1]OUT_TransportEnergyCons!$B$3:$B$1000)*1,ISNUMBER(SEARCH("nga",[1]OUT_TransportEnergyCons!$C$3:$C$1000))*1,[1]OUT_TransportEnergyCons!D$3:D$1000)</f>
        <v>3.1647491791459613E-4</v>
      </c>
      <c r="G1344" s="1" cm="1">
        <f t="array" ref="G1344">SUMPRODUCT(("T_B_u-ICEngaEXT"=[1]OUT_TransportEnergyCons!$A$3:$A$1000)*1,("Var_Fin"=[1]OUT_TransportEnergyCons!$B$3:$B$1000)*1,ISNUMBER(SEARCH("nga",[1]OUT_TransportEnergyCons!$C$3:$C$1000))*1,[1]OUT_TransportEnergyCons!E$3:E$1000)</f>
        <v>3.1729354544026144E-4</v>
      </c>
      <c r="H1344" s="1" cm="1">
        <f t="array" ref="H1344">SUMPRODUCT(("T_B_u-ICEngaEXT"=[1]OUT_TransportEnergyCons!$A$3:$A$1000)*1,("Var_Fin"=[1]OUT_TransportEnergyCons!$B$3:$B$1000)*1,ISNUMBER(SEARCH("nga",[1]OUT_TransportEnergyCons!$C$3:$C$1000))*1,[1]OUT_TransportEnergyCons!F$3:F$1000)</f>
        <v>3.1621938005001757E-4</v>
      </c>
      <c r="I1344" s="1" cm="1">
        <f t="array" ref="I1344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4" s="1" cm="1">
        <f t="array" ref="J1344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4" s="1" cm="1">
        <f t="array" ref="K1344">SUMPRODUCT(("T_B_u-ICEngaEXT"=[1]OUT_TransportEnergyCons!$A$3:$A$1000)*1,("Var_Fin"=[1]OUT_TransportEnergyCons!$B$3:$B$1000)*1,ISNUMBER(SEARCH("nga",[1]OUT_TransportEnergyCons!$C$3:$C$1000))*1,[1]OUT_TransportEnergyCons!I$3:I$1000)</f>
        <v>0</v>
      </c>
    </row>
    <row r="1345" spans="2:11" x14ac:dyDescent="0.35">
      <c r="B1345" s="5" t="str">
        <f t="shared" si="833"/>
        <v>SPS1</v>
      </c>
      <c r="C1345" s="5" t="str">
        <f t="shared" si="834"/>
        <v>CH</v>
      </c>
      <c r="D1345" t="s">
        <v>1340</v>
      </c>
      <c r="E1345" t="s">
        <v>8</v>
      </c>
      <c r="F1345" s="1" cm="1">
        <f t="array" ref="F1345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5" s="1" cm="1">
        <f t="array" ref="G1345">SUMPRODUCT(("T_B_u-ICEnga-S1"=[1]OUT_TransportEnergyCons!$A$3:$A$1000)*1,("Var_Fin"=[1]OUT_TransportEnergyCons!$B$3:$B$1000)*1,ISNUMBER(SEARCH("nga",[1]OUT_TransportEnergyCons!$C$3:$C$1000))*1,[1]OUT_TransportEnergyCons!E$3:E$1000)</f>
        <v>1.5015683199753478E-4</v>
      </c>
      <c r="H1345" s="1" cm="1">
        <f t="array" ref="H1345">SUMPRODUCT(("T_B_u-ICEnga-S1"=[1]OUT_TransportEnergyCons!$A$3:$A$1000)*1,("Var_Fin"=[1]OUT_TransportEnergyCons!$B$3:$B$1000)*1,ISNUMBER(SEARCH("nga",[1]OUT_TransportEnergyCons!$C$3:$C$1000))*1,[1]OUT_TransportEnergyCons!F$3:F$1000)</f>
        <v>4.8124371604031164E-4</v>
      </c>
      <c r="I1345" s="1" cm="1">
        <f t="array" ref="I1345">SUMPRODUCT(("T_B_u-ICEnga-S1"=[1]OUT_TransportEnergyCons!$A$3:$A$1000)*1,("Var_Fin"=[1]OUT_TransportEnergyCons!$B$3:$B$1000)*1,ISNUMBER(SEARCH("nga",[1]OUT_TransportEnergyCons!$C$3:$C$1000))*1,[1]OUT_TransportEnergyCons!G$3:G$1000)</f>
        <v>1.440731798382415E-6</v>
      </c>
      <c r="J1345" s="1" cm="1">
        <f t="array" ref="J1345">SUMPRODUCT(("T_B_u-ICEnga-S1"=[1]OUT_TransportEnergyCons!$A$3:$A$1000)*1,("Var_Fin"=[1]OUT_TransportEnergyCons!$B$3:$B$1000)*1,ISNUMBER(SEARCH("nga",[1]OUT_TransportEnergyCons!$C$3:$C$1000))*1,[1]OUT_TransportEnergyCons!H$3:H$1000)</f>
        <v>0</v>
      </c>
      <c r="K1345" s="1" cm="1">
        <f t="array" ref="K1345">SUMPRODUCT(("T_B_u-ICEnga-S1"=[1]OUT_TransportEnergyCons!$A$3:$A$1000)*1,("Var_Fin"=[1]OUT_TransportEnergyCons!$B$3:$B$1000)*1,ISNUMBER(SEARCH("nga",[1]OUT_TransportEnergyCons!$C$3:$C$1000))*1,[1]OUT_TransportEnergyCons!I$3:I$1000)</f>
        <v>0</v>
      </c>
    </row>
    <row r="1346" spans="2:11" x14ac:dyDescent="0.35">
      <c r="B1346" s="5" t="str">
        <f t="shared" si="833"/>
        <v>SPS1</v>
      </c>
      <c r="C1346" s="5" t="str">
        <f t="shared" si="834"/>
        <v>CH</v>
      </c>
      <c r="D1346" t="s">
        <v>1341</v>
      </c>
      <c r="E1346" t="s">
        <v>8</v>
      </c>
      <c r="F1346" s="1" cm="1">
        <f t="array" ref="F1346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6" s="1" cm="1">
        <f t="array" ref="G1346">SUMPRODUCT(("T_B_u-ICEnga-S2"=[1]OUT_TransportEnergyCons!$A$3:$A$1000)*1,("Var_Fin"=[1]OUT_TransportEnergyCons!$B$3:$B$1000)*1,ISNUMBER(SEARCH("nga",[1]OUT_TransportEnergyCons!$C$3:$C$1000))*1,[1]OUT_TransportEnergyCons!E$3:E$1000)</f>
        <v>8.984258325267169E-5</v>
      </c>
      <c r="H1346" s="1" cm="1">
        <f t="array" ref="H1346">SUMPRODUCT(("T_B_u-ICEnga-S2"=[1]OUT_TransportEnergyCons!$A$3:$A$1000)*1,("Var_Fin"=[1]OUT_TransportEnergyCons!$B$3:$B$1000)*1,ISNUMBER(SEARCH("nga",[1]OUT_TransportEnergyCons!$C$3:$C$1000))*1,[1]OUT_TransportEnergyCons!F$3:F$1000)</f>
        <v>7.9166223790814603E-4</v>
      </c>
      <c r="I1346" s="1" cm="1">
        <f t="array" ref="I1346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SUMPRODUCT(("T_B_u-ICEnga-S2"=[1]OUT_TransportEnergyCons!$A$3:$A$1000)*1,("Var_Fin"=[1]OUT_TransportEnergyCons!$B$3:$B$1000)*1,ISNUMBER(SEARCH("nga",[1]OUT_TransportEnergyCons!$C$3:$C$1000))*1,[1]OUT_TransportEnergyCons!I$3:I$1000)</f>
        <v>0</v>
      </c>
    </row>
    <row r="1347" spans="2:11" x14ac:dyDescent="0.35">
      <c r="B1347" s="5" t="str">
        <f t="shared" si="833"/>
        <v>SPS1</v>
      </c>
      <c r="C1347" s="5" t="str">
        <f t="shared" si="834"/>
        <v>CH</v>
      </c>
      <c r="D1347" t="s">
        <v>1342</v>
      </c>
      <c r="E1347" t="s">
        <v>8</v>
      </c>
      <c r="F1347" s="1" cm="1">
        <f t="array" ref="F1347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SUMPRODUCT(("T_B_u-ICEnga-S3"=[1]OUT_TransportEnergyCons!$A$3:$A$1000)*1,("Var_Fin"=[1]OUT_TransportEnergyCons!$B$3:$B$1000)*1,ISNUMBER(SEARCH("nga",[1]OUT_TransportEnergyCons!$C$3:$C$1000))*1,[1]OUT_TransportEnergyCons!E$3:E$1000)</f>
        <v>8.3781869799850407E-5</v>
      </c>
      <c r="H1347" s="1" cm="1">
        <f t="array" ref="H1347">SUMPRODUCT(("T_B_u-ICEnga-S3"=[1]OUT_TransportEnergyCons!$A$3:$A$1000)*1,("Var_Fin"=[1]OUT_TransportEnergyCons!$B$3:$B$1000)*1,ISNUMBER(SEARCH("nga",[1]OUT_TransportEnergyCons!$C$3:$C$1000))*1,[1]OUT_TransportEnergyCons!F$3:F$1000)</f>
        <v>2.7811417995343011E-2</v>
      </c>
      <c r="I1347" s="1" cm="1">
        <f t="array" ref="I1347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7" s="1" cm="1">
        <f t="array" ref="K1347">SUMPRODUCT(("T_B_u-ICEnga-S3"=[1]OUT_TransportEnergyCons!$A$3:$A$1000)*1,("Var_Fin"=[1]OUT_TransportEnergyCons!$B$3:$B$1000)*1,ISNUMBER(SEARCH("nga",[1]OUT_TransportEnergyCons!$C$3:$C$1000))*1,[1]OUT_TransportEnergyCons!I$3:I$1000)</f>
        <v>1.6332586241777554E-5</v>
      </c>
    </row>
    <row r="1348" spans="2:11" x14ac:dyDescent="0.35">
      <c r="B1348" s="5" t="str">
        <f t="shared" si="833"/>
        <v>SPS1</v>
      </c>
      <c r="C1348" s="5" t="str">
        <f t="shared" si="834"/>
        <v>CH</v>
      </c>
      <c r="D1348" t="s">
        <v>1343</v>
      </c>
      <c r="E1348" t="s">
        <v>8</v>
      </c>
      <c r="F1348" s="1" cm="1">
        <f t="array" ref="F1348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48" s="1" cm="1">
        <f t="array" ref="H1348">SUMPRODUCT(("T_B_u-ICEnga-S4"=[1]OUT_TransportEnergyCons!$A$3:$A$1000)*1,("Var_Fin"=[1]OUT_TransportEnergyCons!$B$3:$B$1000)*1,ISNUMBER(SEARCH("nga",[1]OUT_TransportEnergyCons!$C$3:$C$1000))*1,[1]OUT_TransportEnergyCons!F$3:F$1000)</f>
        <v>0</v>
      </c>
      <c r="I1348" s="1" cm="1">
        <f t="array" ref="I1348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SUMPRODUCT(("T_B_u-ICEnga-S4"=[1]OUT_TransportEnergyCons!$A$3:$A$1000)*1,("Var_Fin"=[1]OUT_TransportEnergyCons!$B$3:$B$1000)*1,ISNUMBER(SEARCH("nga",[1]OUT_TransportEnergyCons!$C$3:$C$1000))*1,[1]OUT_TransportEnergyCons!I$3:I$1000)</f>
        <v>1.4028228674657045E-5</v>
      </c>
    </row>
    <row r="1349" spans="2:11" x14ac:dyDescent="0.35">
      <c r="B1349" s="5" t="str">
        <f>B1348</f>
        <v>SPS1</v>
      </c>
      <c r="C1349" s="5" t="str">
        <f>C1348</f>
        <v>CH</v>
      </c>
      <c r="D1349" s="2" t="s">
        <v>1349</v>
      </c>
      <c r="E1349" s="2" t="s">
        <v>1132</v>
      </c>
      <c r="F1349" s="3">
        <f>SUM(F1350:F1372)</f>
        <v>0.29541093369069493</v>
      </c>
      <c r="G1349" s="3">
        <f t="shared" ref="G1349:K1349" si="850">SUM(G1350:G1372)</f>
        <v>0.30116506192778675</v>
      </c>
      <c r="H1349" s="3">
        <f t="shared" si="850"/>
        <v>0.3090964706145154</v>
      </c>
      <c r="I1349" s="3">
        <f t="shared" si="850"/>
        <v>0.3227968560634874</v>
      </c>
      <c r="J1349" s="3">
        <f t="shared" si="850"/>
        <v>0.35121331711794879</v>
      </c>
      <c r="K1349" s="3">
        <f t="shared" si="850"/>
        <v>0.3757035339162485</v>
      </c>
    </row>
    <row r="1350" spans="2:11" x14ac:dyDescent="0.35">
      <c r="B1350" s="5" t="str">
        <f>B1349</f>
        <v>SPS1</v>
      </c>
      <c r="C1350" s="5" t="str">
        <f>C1349</f>
        <v>CH</v>
      </c>
      <c r="D1350" t="s">
        <v>1350</v>
      </c>
      <c r="E1350" t="str">
        <f>E1349</f>
        <v>billion km/yr.</v>
      </c>
      <c r="F1350" s="1" cm="1">
        <f t="array" ref="F1350">SUMPRODUCT(("T_B_u-BeVELCEXT"=[1]OUT_TransportEnergyCons!$A$3:$A$1000)*1,("var_fout"=[1]OUT_TransportEnergyCons!$B$3:$B$1000)*1,ISNUMBER(SEARCH("tpbsu",[1]OUT_TransportEnergyCons!$C$3:$C$1000))*1,[1]OUT_TransportEnergyCons!D$3:D$1000)</f>
        <v>1.9967662185754803E-3</v>
      </c>
      <c r="G1350" s="1" cm="1">
        <f t="array" ref="G1350">SUMPRODUCT(("T_B_u-BeVELCEXT"=[1]OUT_TransportEnergyCons!$A$3:$A$1000)*1,("var_fout"=[1]OUT_TransportEnergyCons!$B$3:$B$1000)*1,ISNUMBER(SEARCH("tpbsu",[1]OUT_TransportEnergyCons!$C$3:$C$1000))*1,[1]OUT_TransportEnergyCons!E$3:E$1000)</f>
        <v>1.6086689653583477E-3</v>
      </c>
      <c r="H1350" s="1" cm="1">
        <f t="array" ref="H1350">SUMPRODUCT(("T_B_u-BeVELCEXT"=[1]OUT_TransportEnergyCons!$A$3:$A$1000)*1,("var_fout"=[1]OUT_TransportEnergyCons!$B$3:$B$1000)*1,ISNUMBER(SEARCH("tpbsu",[1]OUT_TransportEnergyCons!$C$3:$C$1000))*1,[1]OUT_TransportEnergyCons!F$3:F$1000)</f>
        <v>1.0040982586343699E-3</v>
      </c>
      <c r="I1350" s="1" cm="1">
        <f t="array" ref="I1350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0" s="1" cm="1">
        <f t="array" ref="J1350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0" s="1" cm="1">
        <f t="array" ref="K1350">SUMPRODUCT(("T_B_u-BeVELCEXT"=[1]OUT_TransportEnergyCons!$A$3:$A$1000)*1,("var_fout"=[1]OUT_TransportEnergyCons!$B$3:$B$1000)*1,ISNUMBER(SEARCH("tpbsu",[1]OUT_TransportEnergyCons!$C$3:$C$1000))*1,[1]OUT_TransportEnergyCons!I$3:I$1000)</f>
        <v>0</v>
      </c>
    </row>
    <row r="1351" spans="2:11" x14ac:dyDescent="0.35">
      <c r="B1351" s="5" t="str">
        <f t="shared" ref="B1351:B1372" si="851">B1350</f>
        <v>SPS1</v>
      </c>
      <c r="C1351" s="5" t="str">
        <f t="shared" ref="C1351:C1372" si="852">C1350</f>
        <v>CH</v>
      </c>
      <c r="D1351" t="s">
        <v>1351</v>
      </c>
      <c r="E1351" t="str">
        <f t="shared" ref="E1351:E1372" si="853">E1350</f>
        <v>billion km/yr.</v>
      </c>
      <c r="F1351" s="1" cm="1">
        <f t="array" ref="F1351">SUMPRODUCT(("T_B_u-BEVELC-S1"=[1]OUT_TransportEnergyCons!$A$3:$A$1000)*1,("var_fout"=[1]OUT_TransportEnergyCons!$B$3:$B$1000)*1,ISNUMBER(SEARCH("tpbsu",[1]OUT_TransportEnergyCons!$C$3:$C$1000))*1,[1]OUT_TransportEnergyCons!D$3:D$1000)</f>
        <v>1.345546511549686E-7</v>
      </c>
      <c r="G1351" s="1" cm="1">
        <f t="array" ref="G1351">SUMPRODUCT(("T_B_u-BEVELC-S1"=[1]OUT_TransportEnergyCons!$A$3:$A$1000)*1,("var_fout"=[1]OUT_TransportEnergyCons!$B$3:$B$1000)*1,ISNUMBER(SEARCH("tpbsu",[1]OUT_TransportEnergyCons!$C$3:$C$1000))*1,[1]OUT_TransportEnergyCons!E$3:E$1000)</f>
        <v>3.6886397513331414E-4</v>
      </c>
      <c r="H1351" s="1" cm="1">
        <f t="array" ref="H1351">SUMPRODUCT(("T_B_u-BEVELC-S1"=[1]OUT_TransportEnergyCons!$A$3:$A$1000)*1,("var_fout"=[1]OUT_TransportEnergyCons!$B$3:$B$1000)*1,ISNUMBER(SEARCH("tpbsu",[1]OUT_TransportEnergyCons!$C$3:$C$1000))*1,[1]OUT_TransportEnergyCons!F$3:F$1000)</f>
        <v>7.2733461637511767E-4</v>
      </c>
      <c r="I1351" s="1" cm="1">
        <f t="array" ref="I1351">SUMPRODUCT(("T_B_u-BEVELC-S1"=[1]OUT_TransportEnergyCons!$A$3:$A$1000)*1,("var_fout"=[1]OUT_TransportEnergyCons!$B$3:$B$1000)*1,ISNUMBER(SEARCH("tpbsu",[1]OUT_TransportEnergyCons!$C$3:$C$1000))*1,[1]OUT_TransportEnergyCons!G$3:G$1000)</f>
        <v>0.10595532247028361</v>
      </c>
      <c r="J1351" s="1" cm="1">
        <f t="array" ref="J1351">SUMPRODUCT(("T_B_u-BEVELC-S1"=[1]OUT_TransportEnergyCons!$A$3:$A$1000)*1,("var_fout"=[1]OUT_TransportEnergyCons!$B$3:$B$1000)*1,ISNUMBER(SEARCH("tpbsu",[1]OUT_TransportEnergyCons!$C$3:$C$1000))*1,[1]OUT_TransportEnergyCons!H$3:H$1000)</f>
        <v>0.11952974327480441</v>
      </c>
      <c r="K1351" s="1" cm="1">
        <f t="array" ref="K1351">SUMPRODUCT(("T_B_u-BEVELC-S1"=[1]OUT_TransportEnergyCons!$A$3:$A$1000)*1,("var_fout"=[1]OUT_TransportEnergyCons!$B$3:$B$1000)*1,ISNUMBER(SEARCH("tpbsu",[1]OUT_TransportEnergyCons!$C$3:$C$1000))*1,[1]OUT_TransportEnergyCons!I$3:I$1000)</f>
        <v>0.12786922473122919</v>
      </c>
    </row>
    <row r="1352" spans="2:11" x14ac:dyDescent="0.35">
      <c r="B1352" s="5" t="str">
        <f t="shared" si="851"/>
        <v>SPS1</v>
      </c>
      <c r="C1352" s="5" t="str">
        <f t="shared" si="852"/>
        <v>CH</v>
      </c>
      <c r="D1352" t="s">
        <v>1352</v>
      </c>
      <c r="E1352" t="str">
        <f t="shared" si="853"/>
        <v>billion km/yr.</v>
      </c>
      <c r="F1352" s="1" cm="1">
        <f t="array" ref="F1352">SUMPRODUCT(("T_B_u-BEVELC-S2"=[1]OUT_TransportEnergyCons!$A$3:$A$1000)*1,("var_fout"=[1]OUT_TransportEnergyCons!$B$3:$B$1000)*1,ISNUMBER(SEARCH("tpbsu",[1]OUT_TransportEnergyCons!$C$3:$C$1000))*1,[1]OUT_TransportEnergyCons!D$3:D$1000)</f>
        <v>3.6838644048807013E-4</v>
      </c>
      <c r="G1352" s="1" cm="1">
        <f t="array" ref="G1352">SUMPRODUCT(("T_B_u-BEVELC-S2"=[1]OUT_TransportEnergyCons!$A$3:$A$1000)*1,("var_fout"=[1]OUT_TransportEnergyCons!$B$3:$B$1000)*1,ISNUMBER(SEARCH("tpbsu",[1]OUT_TransportEnergyCons!$C$3:$C$1000))*1,[1]OUT_TransportEnergyCons!E$3:E$1000)</f>
        <v>6.3991276995695114E-4</v>
      </c>
      <c r="H1352" s="1" cm="1">
        <f t="array" ref="H1352">SUMPRODUCT(("T_B_u-BEVELC-S2"=[1]OUT_TransportEnergyCons!$A$3:$A$1000)*1,("var_fout"=[1]OUT_TransportEnergyCons!$B$3:$B$1000)*1,ISNUMBER(SEARCH("tpbsu",[1]OUT_TransportEnergyCons!$C$3:$C$1000))*1,[1]OUT_TransportEnergyCons!F$3:F$1000)</f>
        <v>1.0132158467195639E-3</v>
      </c>
      <c r="I1352" s="1" cm="1">
        <f t="array" ref="I1352">SUMPRODUCT(("T_B_u-BEVELC-S2"=[1]OUT_TransportEnergyCons!$A$3:$A$1000)*1,("var_fout"=[1]OUT_TransportEnergyCons!$B$3:$B$1000)*1,ISNUMBER(SEARCH("tpbsu",[1]OUT_TransportEnergyCons!$C$3:$C$1000))*1,[1]OUT_TransportEnergyCons!G$3:G$1000)</f>
        <v>3.9649406287470434E-2</v>
      </c>
      <c r="J1352" s="1" cm="1">
        <f t="array" ref="J1352">SUMPRODUCT(("T_B_u-BEVELC-S2"=[1]OUT_TransportEnergyCons!$A$3:$A$1000)*1,("var_fout"=[1]OUT_TransportEnergyCons!$B$3:$B$1000)*1,ISNUMBER(SEARCH("tpbsu",[1]OUT_TransportEnergyCons!$C$3:$C$1000))*1,[1]OUT_TransportEnergyCons!H$3:H$1000)</f>
        <v>4.3140257604269108E-2</v>
      </c>
      <c r="K1352" s="1" cm="1">
        <f t="array" ref="K1352">SUMPRODUCT(("T_B_u-BEVELC-S2"=[1]OUT_TransportEnergyCons!$A$3:$A$1000)*1,("var_fout"=[1]OUT_TransportEnergyCons!$B$3:$B$1000)*1,ISNUMBER(SEARCH("tpbsu",[1]OUT_TransportEnergyCons!$C$3:$C$1000))*1,[1]OUT_TransportEnergyCons!I$3:I$1000)</f>
        <v>4.6147466863829922E-2</v>
      </c>
    </row>
    <row r="1353" spans="2:11" x14ac:dyDescent="0.35">
      <c r="B1353" s="5" t="str">
        <f t="shared" si="851"/>
        <v>SPS1</v>
      </c>
      <c r="C1353" s="5" t="str">
        <f t="shared" si="852"/>
        <v>CH</v>
      </c>
      <c r="D1353" t="s">
        <v>1353</v>
      </c>
      <c r="E1353" t="str">
        <f t="shared" si="853"/>
        <v>billion km/yr.</v>
      </c>
      <c r="F1353" s="1" cm="1">
        <f t="array" ref="F1353">SUMPRODUCT(("T_B_u-BEVELC-S3"=[1]OUT_TransportEnergyCons!$A$3:$A$1000)*1,("var_fout"=[1]OUT_TransportEnergyCons!$B$3:$B$1000)*1,ISNUMBER(SEARCH("tpbsu",[1]OUT_TransportEnergyCons!$C$3:$C$1000))*1,[1]OUT_TransportEnergyCons!D$3:D$1000)</f>
        <v>8.3679973813060248E-4</v>
      </c>
      <c r="G1353" s="1" cm="1">
        <f t="array" ref="G1353">SUMPRODUCT(("T_B_u-BEVELC-S3"=[1]OUT_TransportEnergyCons!$A$3:$A$1000)*1,("var_fout"=[1]OUT_TransportEnergyCons!$B$3:$B$1000)*1,ISNUMBER(SEARCH("tpbsu",[1]OUT_TransportEnergyCons!$C$3:$C$1000))*1,[1]OUT_TransportEnergyCons!E$3:E$1000)</f>
        <v>1.8571293376418926E-3</v>
      </c>
      <c r="H1353" s="1" cm="1">
        <f t="array" ref="H1353">SUMPRODUCT(("T_B_u-BEVELC-S3"=[1]OUT_TransportEnergyCons!$A$3:$A$1000)*1,("var_fout"=[1]OUT_TransportEnergyCons!$B$3:$B$1000)*1,ISNUMBER(SEARCH("tpbsu",[1]OUT_TransportEnergyCons!$C$3:$C$1000))*1,[1]OUT_TransportEnergyCons!F$3:F$1000)</f>
        <v>2.1506930025676206E-3</v>
      </c>
      <c r="I1353" s="1" cm="1">
        <f t="array" ref="I1353">SUMPRODUCT(("T_B_u-BEVELC-S3"=[1]OUT_TransportEnergyCons!$A$3:$A$1000)*1,("var_fout"=[1]OUT_TransportEnergyCons!$B$3:$B$1000)*1,ISNUMBER(SEARCH("tpbsu",[1]OUT_TransportEnergyCons!$C$3:$C$1000))*1,[1]OUT_TransportEnergyCons!G$3:G$1000)</f>
        <v>0.17328314757642357</v>
      </c>
      <c r="J1353" s="1" cm="1">
        <f t="array" ref="J1353">SUMPRODUCT(("T_B_u-BEVELC-S3"=[1]OUT_TransportEnergyCons!$A$3:$A$1000)*1,("var_fout"=[1]OUT_TransportEnergyCons!$B$3:$B$1000)*1,ISNUMBER(SEARCH("tpbsu",[1]OUT_TransportEnergyCons!$C$3:$C$1000))*1,[1]OUT_TransportEnergyCons!H$3:H$1000)</f>
        <v>0.18853423445854145</v>
      </c>
      <c r="K1353" s="1" cm="1">
        <f t="array" ref="K1353">SUMPRODUCT(("T_B_u-BEVELC-S3"=[1]OUT_TransportEnergyCons!$A$3:$A$1000)*1,("var_fout"=[1]OUT_TransportEnergyCons!$B$3:$B$1000)*1,ISNUMBER(SEARCH("tpbsu",[1]OUT_TransportEnergyCons!$C$3:$C$1000))*1,[1]OUT_TransportEnergyCons!I$3:I$1000)</f>
        <v>0.20167941273952347</v>
      </c>
    </row>
    <row r="1354" spans="2:11" x14ac:dyDescent="0.35">
      <c r="B1354" s="5" t="str">
        <f t="shared" si="851"/>
        <v>SPS1</v>
      </c>
      <c r="C1354" s="5" t="str">
        <f t="shared" si="852"/>
        <v>CH</v>
      </c>
      <c r="D1354" t="s">
        <v>1354</v>
      </c>
      <c r="E1354" t="str">
        <f t="shared" si="853"/>
        <v>billion km/yr.</v>
      </c>
      <c r="F1354" s="1" cm="1">
        <f t="array" ref="F1354">SUMPRODUCT(("T_B_u-BEVELC-S4"=[1]OUT_TransportEnergyCons!$A$3:$A$1000)*1,("var_fout"=[1]OUT_TransportEnergyCons!$B$3:$B$1000)*1,ISNUMBER(SEARCH("tpbsu",[1]OUT_TransportEnergyCons!$C$3:$C$1000))*1,[1]OUT_TransportEnergyCons!D$3:D$1000)</f>
        <v>2.1390031727137041E-5</v>
      </c>
      <c r="G1354" s="1" cm="1">
        <f t="array" ref="G1354">SUMPRODUCT(("T_B_u-BEVELC-S4"=[1]OUT_TransportEnergyCons!$A$3:$A$1000)*1,("var_fout"=[1]OUT_TransportEnergyCons!$B$3:$B$1000)*1,ISNUMBER(SEARCH("tpbsu",[1]OUT_TransportEnergyCons!$C$3:$C$1000))*1,[1]OUT_TransportEnergyCons!E$3:E$1000)</f>
        <v>2.1157084252758288E-5</v>
      </c>
      <c r="H1354" s="1" cm="1">
        <f t="array" ref="H1354">SUMPRODUCT(("T_B_u-BEVELC-S4"=[1]OUT_TransportEnergyCons!$A$3:$A$1000)*1,("var_fout"=[1]OUT_TransportEnergyCons!$B$3:$B$1000)*1,ISNUMBER(SEARCH("tpbsu",[1]OUT_TransportEnergyCons!$C$3:$C$1000))*1,[1]OUT_TransportEnergyCons!F$3:F$1000)</f>
        <v>3.1300566117412763E-5</v>
      </c>
      <c r="I1354" s="1" cm="1">
        <f t="array" ref="I1354">SUMPRODUCT(("T_B_u-BEVELC-S4"=[1]OUT_TransportEnergyCons!$A$3:$A$1000)*1,("var_fout"=[1]OUT_TransportEnergyCons!$B$3:$B$1000)*1,ISNUMBER(SEARCH("tpbsu",[1]OUT_TransportEnergyCons!$C$3:$C$1000))*1,[1]OUT_TransportEnergyCons!G$3:G$1000)</f>
        <v>3.9020705924528382E-3</v>
      </c>
      <c r="J1354" s="1" cm="1">
        <f t="array" ref="J1354">SUMPRODUCT(("T_B_u-BEVELC-S4"=[1]OUT_TransportEnergyCons!$A$3:$A$1000)*1,("var_fout"=[1]OUT_TransportEnergyCons!$B$3:$B$1000)*1,ISNUMBER(SEARCH("tpbsu",[1]OUT_TransportEnergyCons!$C$3:$C$1000))*1,[1]OUT_TransportEnergyCons!H$3:H$1000)</f>
        <v>9.0384478479902046E-6</v>
      </c>
      <c r="K1354" s="1" cm="1">
        <f t="array" ref="K1354">SUMPRODUCT(("T_B_u-BEVELC-S4"=[1]OUT_TransportEnergyCons!$A$3:$A$1000)*1,("var_fout"=[1]OUT_TransportEnergyCons!$B$3:$B$1000)*1,ISNUMBER(SEARCH("tpbsu",[1]OUT_TransportEnergyCons!$C$3:$C$1000))*1,[1]OUT_TransportEnergyCons!I$3:I$1000)</f>
        <v>5.0479196020257254E-6</v>
      </c>
    </row>
    <row r="1355" spans="2:11" x14ac:dyDescent="0.35">
      <c r="B1355" s="5" t="str">
        <f t="shared" si="851"/>
        <v>SPS1</v>
      </c>
      <c r="C1355" s="5" t="str">
        <f t="shared" si="852"/>
        <v>CH</v>
      </c>
      <c r="D1355" t="s">
        <v>1355</v>
      </c>
      <c r="E1355" t="str">
        <f t="shared" si="853"/>
        <v>billion km/yr.</v>
      </c>
      <c r="F1355" s="1" cm="1">
        <f t="array" ref="F1355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5" s="1" cm="1">
        <f t="array" ref="G1355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5" s="1" cm="1">
        <f t="array" ref="H1355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5" s="1" cm="1">
        <f t="array" ref="I1355">SUMPRODUCT(("T_B_u-FCLH2O-S1"=[1]OUT_TransportEnergyCons!$A$3:$A$1000)*1,("var_fout"=[1]OUT_TransportEnergyCons!$B$3:$B$1000)*1,ISNUMBER(SEARCH("tpbsu",[1]OUT_TransportEnergyCons!$C$3:$C$1000))*1,[1]OUT_TransportEnergyCons!G$3:G$1000)</f>
        <v>1.1098992231072361E-6</v>
      </c>
      <c r="J1355" s="1" cm="1">
        <f t="array" ref="J1355">SUMPRODUCT(("T_B_u-FCLH2O-S1"=[1]OUT_TransportEnergyCons!$A$3:$A$1000)*1,("var_fout"=[1]OUT_TransportEnergyCons!$B$3:$B$1000)*1,ISNUMBER(SEARCH("tpbsu",[1]OUT_TransportEnergyCons!$C$3:$C$1000))*1,[1]OUT_TransportEnergyCons!H$3:H$1000)</f>
        <v>4.3332485816975804E-8</v>
      </c>
      <c r="K1355" s="1" cm="1">
        <f t="array" ref="K1355">SUMPRODUCT(("T_B_u-FCLH2O-S1"=[1]OUT_TransportEnergyCons!$A$3:$A$1000)*1,("var_fout"=[1]OUT_TransportEnergyCons!$B$3:$B$1000)*1,ISNUMBER(SEARCH("tpbsu",[1]OUT_TransportEnergyCons!$C$3:$C$1000))*1,[1]OUT_TransportEnergyCons!I$3:I$1000)</f>
        <v>3.0128719533890999E-8</v>
      </c>
    </row>
    <row r="1356" spans="2:11" x14ac:dyDescent="0.35">
      <c r="B1356" s="5" t="str">
        <f t="shared" si="851"/>
        <v>SPS1</v>
      </c>
      <c r="C1356" s="5" t="str">
        <f t="shared" si="852"/>
        <v>CH</v>
      </c>
      <c r="D1356" t="s">
        <v>1356</v>
      </c>
      <c r="E1356" t="str">
        <f t="shared" si="853"/>
        <v>billion km/yr.</v>
      </c>
      <c r="F1356" s="1" cm="1">
        <f t="array" ref="F1356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6" s="1" cm="1">
        <f t="array" ref="G1356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6" s="1" cm="1">
        <f t="array" ref="H1356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6" s="1" cm="1">
        <f t="array" ref="I1356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6" s="1" cm="1">
        <f t="array" ref="J1356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6" s="1" cm="1">
        <f t="array" ref="K1356">SUMPRODUCT(("T_B_u-FCLH2O-S2"=[1]OUT_TransportEnergyCons!$A$3:$A$1000)*1,("var_fout"=[1]OUT_TransportEnergyCons!$B$3:$B$1000)*1,ISNUMBER(SEARCH("tpbsu",[1]OUT_TransportEnergyCons!$C$3:$C$1000))*1,[1]OUT_TransportEnergyCons!I$3:I$1000)</f>
        <v>0</v>
      </c>
    </row>
    <row r="1357" spans="2:11" x14ac:dyDescent="0.35">
      <c r="B1357" s="5" t="str">
        <f t="shared" si="851"/>
        <v>SPS1</v>
      </c>
      <c r="C1357" s="5" t="str">
        <f t="shared" si="852"/>
        <v>CH</v>
      </c>
      <c r="D1357" t="s">
        <v>1357</v>
      </c>
      <c r="E1357" t="str">
        <f t="shared" si="853"/>
        <v>billion km/yr.</v>
      </c>
      <c r="F1357" s="1" cm="1">
        <f t="array" ref="F1357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7" s="1" cm="1">
        <f t="array" ref="K1357">SUMPRODUCT(("T_B_u-FCLH2O-S3"=[1]OUT_TransportEnergyCons!$A$3:$A$1000)*1,("var_fout"=[1]OUT_TransportEnergyCons!$B$3:$B$1000)*1,ISNUMBER(SEARCH("tpbsu",[1]OUT_TransportEnergyCons!$C$3:$C$1000))*1,[1]OUT_TransportEnergyCons!I$3:I$1000)</f>
        <v>5.2627539446776806E-7</v>
      </c>
    </row>
    <row r="1358" spans="2:11" x14ac:dyDescent="0.35">
      <c r="B1358" s="5" t="str">
        <f t="shared" si="851"/>
        <v>SPS1</v>
      </c>
      <c r="C1358" s="5" t="str">
        <f t="shared" si="852"/>
        <v>CH</v>
      </c>
      <c r="D1358" t="s">
        <v>1358</v>
      </c>
      <c r="E1358" t="str">
        <f t="shared" si="853"/>
        <v>billion km/yr.</v>
      </c>
      <c r="F1358" s="1" cm="1">
        <f t="array" ref="F1358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SUMPRODUCT(("T_B_u-FCLH2O-S4"=[1]OUT_TransportEnergyCons!$A$3:$A$1000)*1,("var_fout"=[1]OUT_TransportEnergyCons!$B$3:$B$1000)*1,ISNUMBER(SEARCH("tpbsu",[1]OUT_TransportEnergyCons!$C$3:$C$1000))*1,[1]OUT_TransportEnergyCons!I$3:I$1000)</f>
        <v>0</v>
      </c>
    </row>
    <row r="1359" spans="2:11" x14ac:dyDescent="0.35">
      <c r="B1359" s="5" t="str">
        <f t="shared" si="851"/>
        <v>SPS1</v>
      </c>
      <c r="C1359" s="5" t="str">
        <f t="shared" si="852"/>
        <v>CH</v>
      </c>
      <c r="D1359" t="s">
        <v>1359</v>
      </c>
      <c r="E1359" t="str">
        <f t="shared" si="853"/>
        <v>billion km/yr.</v>
      </c>
      <c r="F1359" s="1" cm="1">
        <f t="array" ref="F1359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SUMPRODUCT(("T_B_u-HYBDSL-S1"=[1]OUT_TransportEnergyCons!$A$3:$A$1000)*1,("var_fout"=[1]OUT_TransportEnergyCons!$B$3:$B$1000)*1,ISNUMBER(SEARCH("tpbsu",[1]OUT_TransportEnergyCons!$C$3:$C$1000))*1,[1]OUT_TransportEnergyCons!E$3:E$1000)</f>
        <v>8.8293202928976366E-3</v>
      </c>
      <c r="H1359" s="1" cm="1">
        <f t="array" ref="H1359">SUMPRODUCT(("T_B_u-HYBDSL-S1"=[1]OUT_TransportEnergyCons!$A$3:$A$1000)*1,("var_fout"=[1]OUT_TransportEnergyCons!$B$3:$B$1000)*1,ISNUMBER(SEARCH("tpbsu",[1]OUT_TransportEnergyCons!$C$3:$C$1000))*1,[1]OUT_TransportEnergyCons!F$3:F$1000)</f>
        <v>8.8719498805953159E-3</v>
      </c>
      <c r="I1359" s="1" cm="1">
        <f t="array" ref="I1359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SUMPRODUCT(("T_B_u-HYBDSL-S1"=[1]OUT_TransportEnergyCons!$A$3:$A$1000)*1,("var_fout"=[1]OUT_TransportEnergyCons!$B$3:$B$1000)*1,ISNUMBER(SEARCH("tpbsu",[1]OUT_TransportEnergyCons!$C$3:$C$1000))*1,[1]OUT_TransportEnergyCons!H$3:H$1000)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SUMPRODUCT(("T_B_u-HYBDSL-S1"=[1]OUT_TransportEnergyCons!$A$3:$A$1000)*1,("var_fout"=[1]OUT_TransportEnergyCons!$B$3:$B$1000)*1,ISNUMBER(SEARCH("tpbsu",[1]OUT_TransportEnergyCons!$C$3:$C$1000))*1,[1]OUT_TransportEnergyCons!I$3:I$1000)</f>
        <v>0</v>
      </c>
    </row>
    <row r="1360" spans="2:11" x14ac:dyDescent="0.35">
      <c r="B1360" s="5" t="str">
        <f t="shared" si="851"/>
        <v>SPS1</v>
      </c>
      <c r="C1360" s="5" t="str">
        <f t="shared" si="852"/>
        <v>CH</v>
      </c>
      <c r="D1360" t="s">
        <v>1360</v>
      </c>
      <c r="E1360" t="str">
        <f t="shared" si="853"/>
        <v>billion km/yr.</v>
      </c>
      <c r="F1360" s="1" cm="1">
        <f t="array" ref="F1360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SUMPRODUCT(("T_B_u-HYBDSL-S2"=[1]OUT_TransportEnergyCons!$A$3:$A$1000)*1,("var_fout"=[1]OUT_TransportEnergyCons!$B$3:$B$1000)*1,ISNUMBER(SEARCH("tpbsu",[1]OUT_TransportEnergyCons!$C$3:$C$1000))*1,[1]OUT_TransportEnergyCons!E$3:E$1000)</f>
        <v>3.5359769576344672E-5</v>
      </c>
      <c r="H1360" s="1" cm="1">
        <f t="array" ref="H1360">SUMPRODUCT(("T_B_u-HYBDSL-S2"=[1]OUT_TransportEnergyCons!$A$3:$A$1000)*1,("var_fout"=[1]OUT_TransportEnergyCons!$B$3:$B$1000)*1,ISNUMBER(SEARCH("tpbsu",[1]OUT_TransportEnergyCons!$C$3:$C$1000))*1,[1]OUT_TransportEnergyCons!F$3:F$1000)</f>
        <v>5.1477712365893428E-5</v>
      </c>
      <c r="I1360" s="1" cm="1">
        <f t="array" ref="I1360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SUMPRODUCT(("T_B_u-HYBDSL-S2"=[1]OUT_TransportEnergyCons!$A$3:$A$1000)*1,("var_fout"=[1]OUT_TransportEnergyCons!$B$3:$B$1000)*1,ISNUMBER(SEARCH("tpbsu",[1]OUT_TransportEnergyCons!$C$3:$C$1000))*1,[1]OUT_TransportEnergyCons!H$3:H$1000)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SUMPRODUCT(("T_B_u-HYBDSL-S2"=[1]OUT_TransportEnergyCons!$A$3:$A$1000)*1,("var_fout"=[1]OUT_TransportEnergyCons!$B$3:$B$1000)*1,ISNUMBER(SEARCH("tpbsu",[1]OUT_TransportEnergyCons!$C$3:$C$1000))*1,[1]OUT_TransportEnergyCons!I$3:I$1000)</f>
        <v>0</v>
      </c>
    </row>
    <row r="1361" spans="2:11" x14ac:dyDescent="0.35">
      <c r="B1361" s="5" t="str">
        <f t="shared" si="851"/>
        <v>SPS1</v>
      </c>
      <c r="C1361" s="5" t="str">
        <f t="shared" si="852"/>
        <v>CH</v>
      </c>
      <c r="D1361" t="s">
        <v>1361</v>
      </c>
      <c r="E1361" t="str">
        <f t="shared" si="853"/>
        <v>billion km/yr.</v>
      </c>
      <c r="F1361" s="1" cm="1">
        <f t="array" ref="F1361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SUMPRODUCT(("T_B_u-HYBDSL-S3"=[1]OUT_TransportEnergyCons!$A$3:$A$1000)*1,("var_fout"=[1]OUT_TransportEnergyCons!$B$3:$B$1000)*1,ISNUMBER(SEARCH("tpbsu",[1]OUT_TransportEnergyCons!$C$3:$C$1000))*1,[1]OUT_TransportEnergyCons!E$3:E$1000)</f>
        <v>2.7591784809075529E-5</v>
      </c>
      <c r="H1361" s="1" cm="1">
        <f t="array" ref="H1361">SUMPRODUCT(("T_B_u-HYBDSL-S3"=[1]OUT_TransportEnergyCons!$A$3:$A$1000)*1,("var_fout"=[1]OUT_TransportEnergyCons!$B$3:$B$1000)*1,ISNUMBER(SEARCH("tpbsu",[1]OUT_TransportEnergyCons!$C$3:$C$1000))*1,[1]OUT_TransportEnergyCons!F$3:F$1000)</f>
        <v>3.7719600156637301E-5</v>
      </c>
      <c r="I1361" s="1" cm="1">
        <f t="array" ref="I1361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SUMPRODUCT(("T_B_u-HYBDSL-S3"=[1]OUT_TransportEnergyCons!$A$3:$A$1000)*1,("var_fout"=[1]OUT_TransportEnergyCons!$B$3:$B$1000)*1,ISNUMBER(SEARCH("tpbsu",[1]OUT_TransportEnergyCons!$C$3:$C$1000))*1,[1]OUT_TransportEnergyCons!H$3:H$1000)</f>
        <v>0</v>
      </c>
      <c r="K1361" s="1" cm="1">
        <f t="array" ref="K1361">SUMPRODUCT(("T_B_u-HYBDSL-S3"=[1]OUT_TransportEnergyCons!$A$3:$A$1000)*1,("var_fout"=[1]OUT_TransportEnergyCons!$B$3:$B$1000)*1,ISNUMBER(SEARCH("tpbsu",[1]OUT_TransportEnergyCons!$C$3:$C$1000))*1,[1]OUT_TransportEnergyCons!I$3:I$1000)</f>
        <v>0</v>
      </c>
    </row>
    <row r="1362" spans="2:11" x14ac:dyDescent="0.35">
      <c r="B1362" s="5" t="str">
        <f t="shared" si="851"/>
        <v>SPS1</v>
      </c>
      <c r="C1362" s="5" t="str">
        <f t="shared" si="852"/>
        <v>CH</v>
      </c>
      <c r="D1362" t="s">
        <v>1362</v>
      </c>
      <c r="E1362" t="str">
        <f t="shared" si="853"/>
        <v>billion km/yr.</v>
      </c>
      <c r="F1362" s="1" cm="1">
        <f t="array" ref="F1362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SUMPRODUCT(("T_B_u-HYBDSL-S4"=[1]OUT_TransportEnergyCons!$A$3:$A$1000)*1,("var_fout"=[1]OUT_TransportEnergyCons!$B$3:$B$1000)*1,ISNUMBER(SEARCH("tpbsu",[1]OUT_TransportEnergyCons!$C$3:$C$1000))*1,[1]OUT_TransportEnergyCons!E$3:E$1000)</f>
        <v>0</v>
      </c>
      <c r="H1362" s="1" cm="1">
        <f t="array" ref="H1362">SUMPRODUCT(("T_B_u-HYBDSL-S4"=[1]OUT_TransportEnergyCons!$A$3:$A$1000)*1,("var_fout"=[1]OUT_TransportEnergyCons!$B$3:$B$1000)*1,ISNUMBER(SEARCH("tpbsu",[1]OUT_TransportEnergyCons!$C$3:$C$1000))*1,[1]OUT_TransportEnergyCons!F$3:F$1000)</f>
        <v>0</v>
      </c>
      <c r="I1362" s="1" cm="1">
        <f t="array" ref="I1362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SUMPRODUCT(("T_B_u-HYBDSL-S4"=[1]OUT_TransportEnergyCons!$A$3:$A$1000)*1,("var_fout"=[1]OUT_TransportEnergyCons!$B$3:$B$1000)*1,ISNUMBER(SEARCH("tpbsu",[1]OUT_TransportEnergyCons!$C$3:$C$1000))*1,[1]OUT_TransportEnergyCons!H$3:H$1000)</f>
        <v>0</v>
      </c>
      <c r="K1362" s="1" cm="1">
        <f t="array" ref="K1362">SUMPRODUCT(("T_B_u-HYBDSL-S4"=[1]OUT_TransportEnergyCons!$A$3:$A$1000)*1,("var_fout"=[1]OUT_TransportEnergyCons!$B$3:$B$1000)*1,ISNUMBER(SEARCH("tpbsu",[1]OUT_TransportEnergyCons!$C$3:$C$1000))*1,[1]OUT_TransportEnergyCons!I$3:I$1000)</f>
        <v>0</v>
      </c>
    </row>
    <row r="1363" spans="2:11" x14ac:dyDescent="0.35">
      <c r="B1363" s="5" t="str">
        <f t="shared" si="851"/>
        <v>SPS1</v>
      </c>
      <c r="C1363" s="5" t="str">
        <f t="shared" si="852"/>
        <v>CH</v>
      </c>
      <c r="D1363" t="s">
        <v>2002</v>
      </c>
      <c r="E1363" t="str">
        <f t="shared" si="853"/>
        <v>billion km/yr.</v>
      </c>
      <c r="F1363" s="1" cm="1">
        <f t="array" ref="F1363">SUMPRODUCT(("T_B_u-ICEDSLEXT"=[1]OUT_TransportEnergyCons!$A$3:$A$1000)*1,("var_fout"=[1]OUT_TransportEnergyCons!$B$3:$B$1000)*1,ISNUMBER(SEARCH("tpbsu",[1]OUT_TransportEnergyCons!$C$3:$C$1000))*1,[1]OUT_TransportEnergyCons!D$3:D$1000)</f>
        <v>0.24220857200193061</v>
      </c>
      <c r="G1363" s="1" cm="1">
        <f t="array" ref="G1363">SUMPRODUCT(("T_B_u-ICEDSLEXT"=[1]OUT_TransportEnergyCons!$A$3:$A$1000)*1,("var_fout"=[1]OUT_TransportEnergyCons!$B$3:$B$1000)*1,ISNUMBER(SEARCH("tpbsu",[1]OUT_TransportEnergyCons!$C$3:$C$1000))*1,[1]OUT_TransportEnergyCons!E$3:E$1000)</f>
        <v>0.19378433887839014</v>
      </c>
      <c r="H1363" s="1" cm="1">
        <f t="array" ref="H1363">SUMPRODUCT(("T_B_u-ICEDSLEXT"=[1]OUT_TransportEnergyCons!$A$3:$A$1000)*1,("var_fout"=[1]OUT_TransportEnergyCons!$B$3:$B$1000)*1,ISNUMBER(SEARCH("tpbsu",[1]OUT_TransportEnergyCons!$C$3:$C$1000))*1,[1]OUT_TransportEnergyCons!F$3:F$1000)</f>
        <v>0.12111455001504205</v>
      </c>
      <c r="I1363" s="1" cm="1">
        <f t="array" ref="I1363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3" s="1" cm="1">
        <f t="array" ref="K1363">SUMPRODUCT(("T_B_u-ICEDSLEXT"=[1]OUT_TransportEnergyCons!$A$3:$A$1000)*1,("var_fout"=[1]OUT_TransportEnergyCons!$B$3:$B$1000)*1,ISNUMBER(SEARCH("tpbsu",[1]OUT_TransportEnergyCons!$C$3:$C$1000))*1,[1]OUT_TransportEnergyCons!I$3:I$1000)</f>
        <v>0</v>
      </c>
    </row>
    <row r="1364" spans="2:11" x14ac:dyDescent="0.35">
      <c r="B1364" s="5" t="str">
        <f t="shared" si="851"/>
        <v>SPS1</v>
      </c>
      <c r="C1364" s="5" t="str">
        <f t="shared" si="852"/>
        <v>CH</v>
      </c>
      <c r="D1364" t="s">
        <v>1363</v>
      </c>
      <c r="E1364" t="str">
        <f t="shared" si="853"/>
        <v>billion km/yr.</v>
      </c>
      <c r="F1364" s="1" cm="1">
        <f t="array" ref="F1364">SUMPRODUCT(("T_B_u-ICEDSL-S1"=[1]OUT_TransportEnergyCons!$A$3:$A$1000)*1,("var_fout"=[1]OUT_TransportEnergyCons!$B$3:$B$1000)*1,ISNUMBER(SEARCH("tpbsu",[1]OUT_TransportEnergyCons!$C$3:$C$1000))*1,[1]OUT_TransportEnergyCons!D$3:D$1000)</f>
        <v>3.4677188485124169E-5</v>
      </c>
      <c r="G1364" s="1" cm="1">
        <f t="array" ref="G1364">SUMPRODUCT(("T_B_u-ICEDSL-S1"=[1]OUT_TransportEnergyCons!$A$3:$A$1000)*1,("var_fout"=[1]OUT_TransportEnergyCons!$B$3:$B$1000)*1,ISNUMBER(SEARCH("tpbsu",[1]OUT_TransportEnergyCons!$C$3:$C$1000))*1,[1]OUT_TransportEnergyCons!E$3:E$1000)</f>
        <v>2.5548951797156903E-2</v>
      </c>
      <c r="H1364" s="1" cm="1">
        <f t="array" ref="H1364">SUMPRODUCT(("T_B_u-ICEDSL-S1"=[1]OUT_TransportEnergyCons!$A$3:$A$1000)*1,("var_fout"=[1]OUT_TransportEnergyCons!$B$3:$B$1000)*1,ISNUMBER(SEARCH("tpbsu",[1]OUT_TransportEnergyCons!$C$3:$C$1000))*1,[1]OUT_TransportEnergyCons!F$3:F$1000)</f>
        <v>5.318002061472013E-2</v>
      </c>
      <c r="I1364" s="1" cm="1">
        <f t="array" ref="I1364">SUMPRODUCT(("T_B_u-ICEDSL-S1"=[1]OUT_TransportEnergyCons!$A$3:$A$1000)*1,("var_fout"=[1]OUT_TransportEnergyCons!$B$3:$B$1000)*1,ISNUMBER(SEARCH("tpbsu",[1]OUT_TransportEnergyCons!$C$3:$C$1000))*1,[1]OUT_TransportEnergyCons!G$3:G$1000)</f>
        <v>5.6213864515423071E-6</v>
      </c>
      <c r="J1364" s="1" cm="1">
        <f t="array" ref="J1364">SUMPRODUCT(("T_B_u-ICEDSL-S1"=[1]OUT_TransportEnergyCons!$A$3:$A$1000)*1,("var_fout"=[1]OUT_TransportEnergyCons!$B$3:$B$1000)*1,ISNUMBER(SEARCH("tpbsu",[1]OUT_TransportEnergyCons!$C$3:$C$1000))*1,[1]OUT_TransportEnergyCons!H$3:H$1000)</f>
        <v>0</v>
      </c>
      <c r="K1364" s="1" cm="1">
        <f t="array" ref="K1364">SUMPRODUCT(("T_B_u-ICEDSL-S1"=[1]OUT_TransportEnergyCons!$A$3:$A$1000)*1,("var_fout"=[1]OUT_TransportEnergyCons!$B$3:$B$1000)*1,ISNUMBER(SEARCH("tpbsu",[1]OUT_TransportEnergyCons!$C$3:$C$1000))*1,[1]OUT_TransportEnergyCons!I$3:I$1000)</f>
        <v>0</v>
      </c>
    </row>
    <row r="1365" spans="2:11" x14ac:dyDescent="0.35">
      <c r="B1365" s="5" t="str">
        <f t="shared" si="851"/>
        <v>SPS1</v>
      </c>
      <c r="C1365" s="5" t="str">
        <f t="shared" si="852"/>
        <v>CH</v>
      </c>
      <c r="D1365" t="s">
        <v>1364</v>
      </c>
      <c r="E1365" t="str">
        <f t="shared" si="853"/>
        <v>billion km/yr.</v>
      </c>
      <c r="F1365" s="1" cm="1">
        <f t="array" ref="F1365">SUMPRODUCT(("T_B_u-ICEDSL-S2"=[1]OUT_TransportEnergyCons!$A$3:$A$1000)*1,("var_fout"=[1]OUT_TransportEnergyCons!$B$3:$B$1000)*1,ISNUMBER(SEARCH("tpbsu",[1]OUT_TransportEnergyCons!$C$3:$C$1000))*1,[1]OUT_TransportEnergyCons!D$3:D$1000)</f>
        <v>9.6442778566104108E-3</v>
      </c>
      <c r="G1365" s="1" cm="1">
        <f t="array" ref="G1365">SUMPRODUCT(("T_B_u-ICEDSL-S2"=[1]OUT_TransportEnergyCons!$A$3:$A$1000)*1,("var_fout"=[1]OUT_TransportEnergyCons!$B$3:$B$1000)*1,ISNUMBER(SEARCH("tpbsu",[1]OUT_TransportEnergyCons!$C$3:$C$1000))*1,[1]OUT_TransportEnergyCons!E$3:E$1000)</f>
        <v>1.1875348876585841E-2</v>
      </c>
      <c r="H1365" s="1" cm="1">
        <f t="array" ref="H1365">SUMPRODUCT(("T_B_u-ICEDSL-S2"=[1]OUT_TransportEnergyCons!$A$3:$A$1000)*1,("var_fout"=[1]OUT_TransportEnergyCons!$B$3:$B$1000)*1,ISNUMBER(SEARCH("tpbsu",[1]OUT_TransportEnergyCons!$C$3:$C$1000))*1,[1]OUT_TransportEnergyCons!F$3:F$1000)</f>
        <v>2.1564120711370482E-2</v>
      </c>
      <c r="I1365" s="1" cm="1">
        <f t="array" ref="I1365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SUMPRODUCT(("T_B_u-ICEDSL-S2"=[1]OUT_TransportEnergyCons!$A$3:$A$1000)*1,("var_fout"=[1]OUT_TransportEnergyCons!$B$3:$B$1000)*1,ISNUMBER(SEARCH("tpbsu",[1]OUT_TransportEnergyCons!$C$3:$C$1000))*1,[1]OUT_TransportEnergyCons!I$3:I$1000)</f>
        <v>0</v>
      </c>
    </row>
    <row r="1366" spans="2:11" x14ac:dyDescent="0.35">
      <c r="B1366" s="5" t="str">
        <f t="shared" si="851"/>
        <v>SPS1</v>
      </c>
      <c r="C1366" s="5" t="str">
        <f t="shared" si="852"/>
        <v>CH</v>
      </c>
      <c r="D1366" t="s">
        <v>1365</v>
      </c>
      <c r="E1366" t="str">
        <f t="shared" si="853"/>
        <v>billion km/yr.</v>
      </c>
      <c r="F1366" s="1" cm="1">
        <f t="array" ref="F1366">SUMPRODUCT(("T_B_u-ICEDSL-S3"=[1]OUT_TransportEnergyCons!$A$3:$A$1000)*1,("var_fout"=[1]OUT_TransportEnergyCons!$B$3:$B$1000)*1,ISNUMBER(SEARCH("tpbsu",[1]OUT_TransportEnergyCons!$C$3:$C$1000))*1,[1]OUT_TransportEnergyCons!D$3:D$1000)</f>
        <v>3.5757706127441689E-2</v>
      </c>
      <c r="G1366" s="1" cm="1">
        <f t="array" ref="G1366">SUMPRODUCT(("T_B_u-ICEDSL-S3"=[1]OUT_TransportEnergyCons!$A$3:$A$1000)*1,("var_fout"=[1]OUT_TransportEnergyCons!$B$3:$B$1000)*1,ISNUMBER(SEARCH("tpbsu",[1]OUT_TransportEnergyCons!$C$3:$C$1000))*1,[1]OUT_TransportEnergyCons!E$3:E$1000)</f>
        <v>5.29884386644437E-2</v>
      </c>
      <c r="H1366" s="1" cm="1">
        <f t="array" ref="H1366">SUMPRODUCT(("T_B_u-ICEDSL-S3"=[1]OUT_TransportEnergyCons!$A$3:$A$1000)*1,("var_fout"=[1]OUT_TransportEnergyCons!$B$3:$B$1000)*1,ISNUMBER(SEARCH("tpbsu",[1]OUT_TransportEnergyCons!$C$3:$C$1000))*1,[1]OUT_TransportEnergyCons!F$3:F$1000)</f>
        <v>9.5347158711271973E-2</v>
      </c>
      <c r="I1366" s="1" cm="1">
        <f t="array" ref="I1366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6" s="1" cm="1">
        <f t="array" ref="J1366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SUMPRODUCT(("T_B_u-ICEDSL-S3"=[1]OUT_TransportEnergyCons!$A$3:$A$1000)*1,("var_fout"=[1]OUT_TransportEnergyCons!$B$3:$B$1000)*1,ISNUMBER(SEARCH("tpbsu",[1]OUT_TransportEnergyCons!$C$3:$C$1000))*1,[1]OUT_TransportEnergyCons!I$3:I$1000)</f>
        <v>0</v>
      </c>
    </row>
    <row r="1367" spans="2:11" x14ac:dyDescent="0.35">
      <c r="B1367" s="5" t="str">
        <f t="shared" si="851"/>
        <v>SPS1</v>
      </c>
      <c r="C1367" s="5" t="str">
        <f t="shared" si="852"/>
        <v>CH</v>
      </c>
      <c r="D1367" t="s">
        <v>1366</v>
      </c>
      <c r="E1367" t="str">
        <f t="shared" si="853"/>
        <v>billion km/yr.</v>
      </c>
      <c r="F1367" s="1" cm="1">
        <f t="array" ref="F1367">SUMPRODUCT(("T_B_u-ICEDSL-S4"=[1]OUT_TransportEnergyCons!$A$3:$A$1000)*1,("var_fout"=[1]OUT_TransportEnergyCons!$B$3:$B$1000)*1,ISNUMBER(SEARCH("tpbsu",[1]OUT_TransportEnergyCons!$C$3:$C$1000))*1,[1]OUT_TransportEnergyCons!D$3:D$1000)</f>
        <v>1.2148645003565064E-4</v>
      </c>
      <c r="G1367" s="1" cm="1">
        <f t="array" ref="G1367">SUMPRODUCT(("T_B_u-ICEDSL-S4"=[1]OUT_TransportEnergyCons!$A$3:$A$1000)*1,("var_fout"=[1]OUT_TransportEnergyCons!$B$3:$B$1000)*1,ISNUMBER(SEARCH("tpbsu",[1]OUT_TransportEnergyCons!$C$3:$C$1000))*1,[1]OUT_TransportEnergyCons!E$3:E$1000)</f>
        <v>0</v>
      </c>
      <c r="H1367" s="1" cm="1">
        <f t="array" ref="H1367">SUMPRODUCT(("T_B_u-ICEDSL-S4"=[1]OUT_TransportEnergyCons!$A$3:$A$1000)*1,("var_fout"=[1]OUT_TransportEnergyCons!$B$3:$B$1000)*1,ISNUMBER(SEARCH("tpbsu",[1]OUT_TransportEnergyCons!$C$3:$C$1000))*1,[1]OUT_TransportEnergyCons!F$3:F$1000)</f>
        <v>4.1349976168609718E-6</v>
      </c>
      <c r="I1367" s="1" cm="1">
        <f t="array" ref="I1367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SUMPRODUCT(("T_B_u-ICEDSL-S4"=[1]OUT_TransportEnergyCons!$A$3:$A$1000)*1,("var_fout"=[1]OUT_TransportEnergyCons!$B$3:$B$1000)*1,ISNUMBER(SEARCH("tpbsu",[1]OUT_TransportEnergyCons!$C$3:$C$1000))*1,[1]OUT_TransportEnergyCons!I$3:I$1000)</f>
        <v>0</v>
      </c>
    </row>
    <row r="1368" spans="2:11" x14ac:dyDescent="0.35">
      <c r="B1368" s="5" t="str">
        <f t="shared" si="851"/>
        <v>SPS1</v>
      </c>
      <c r="C1368" s="5" t="str">
        <f t="shared" si="852"/>
        <v>CH</v>
      </c>
      <c r="D1368" t="s">
        <v>2006</v>
      </c>
      <c r="E1368" t="str">
        <f t="shared" si="853"/>
        <v>billion km/yr.</v>
      </c>
      <c r="F1368" s="1" cm="1">
        <f t="array" ref="F1368">SUMPRODUCT(("T_B_u-ICEngaEXT"=[1]OUT_TransportEnergyCons!$A$3:$A$1000)*1,("var_fout"=[1]OUT_TransportEnergyCons!$B$3:$B$1000)*1,ISNUMBER(SEARCH("tpbsu",[1]OUT_TransportEnergyCons!$C$3:$C$1000))*1,[1]OUT_TransportEnergyCons!D$3:D$1000)</f>
        <v>4.4207370826190038E-3</v>
      </c>
      <c r="G1368" s="1" cm="1">
        <f t="array" ref="G1368">SUMPRODUCT(("T_B_u-ICEngaEXT"=[1]OUT_TransportEnergyCons!$A$3:$A$1000)*1,("var_fout"=[1]OUT_TransportEnergyCons!$B$3:$B$1000)*1,ISNUMBER(SEARCH("tpbsu",[1]OUT_TransportEnergyCons!$C$3:$C$1000))*1,[1]OUT_TransportEnergyCons!E$3:E$1000)</f>
        <v>3.5495616479513737E-3</v>
      </c>
      <c r="H1368" s="1" cm="1">
        <f t="array" ref="H1368">SUMPRODUCT(("T_B_u-ICEngaEXT"=[1]OUT_TransportEnergyCons!$A$3:$A$1000)*1,("var_fout"=[1]OUT_TransportEnergyCons!$B$3:$B$1000)*1,ISNUMBER(SEARCH("tpbsu",[1]OUT_TransportEnergyCons!$C$3:$C$1000))*1,[1]OUT_TransportEnergyCons!F$3:F$1000)</f>
        <v>2.2181110761957E-3</v>
      </c>
      <c r="I1368" s="1" cm="1">
        <f t="array" ref="I1368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SUMPRODUCT(("T_B_u-ICEngaEXT"=[1]OUT_TransportEnergyCons!$A$3:$A$1000)*1,("var_fout"=[1]OUT_TransportEnergyCons!$B$3:$B$1000)*1,ISNUMBER(SEARCH("tpbsu",[1]OUT_TransportEnergyCons!$C$3:$C$1000))*1,[1]OUT_TransportEnergyCons!I$3:I$1000)</f>
        <v>0</v>
      </c>
    </row>
    <row r="1369" spans="2:11" x14ac:dyDescent="0.35">
      <c r="B1369" s="5" t="str">
        <f t="shared" si="851"/>
        <v>SPS1</v>
      </c>
      <c r="C1369" s="5" t="str">
        <f t="shared" si="852"/>
        <v>CH</v>
      </c>
      <c r="D1369" t="s">
        <v>1367</v>
      </c>
      <c r="E1369" t="str">
        <f t="shared" si="853"/>
        <v>billion km/yr.</v>
      </c>
      <c r="F1369" s="1" cm="1">
        <f t="array" ref="F1369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69" s="1" cm="1">
        <f t="array" ref="G1369">SUMPRODUCT(("T_B_u-ICEnga-S1"=[1]OUT_TransportEnergyCons!$A$3:$A$1000)*1,("var_fout"=[1]OUT_TransportEnergyCons!$B$3:$B$1000)*1,ISNUMBER(SEARCH("tpbsu",[1]OUT_TransportEnergyCons!$C$3:$C$1000))*1,[1]OUT_TransportEnergyCons!E$3:E$1000)</f>
        <v>1.8054485052671623E-5</v>
      </c>
      <c r="H1369" s="1" cm="1">
        <f t="array" ref="H1369">SUMPRODUCT(("T_B_u-ICEnga-S1"=[1]OUT_TransportEnergyCons!$A$3:$A$1000)*1,("var_fout"=[1]OUT_TransportEnergyCons!$B$3:$B$1000)*1,ISNUMBER(SEARCH("tpbsu",[1]OUT_TransportEnergyCons!$C$3:$C$1000))*1,[1]OUT_TransportEnergyCons!F$3:F$1000)</f>
        <v>5.9835454089775586E-5</v>
      </c>
      <c r="I1369" s="1" cm="1">
        <f t="array" ref="I1369">SUMPRODUCT(("T_B_u-ICEnga-S1"=[1]OUT_TransportEnergyCons!$A$3:$A$1000)*1,("var_fout"=[1]OUT_TransportEnergyCons!$B$3:$B$1000)*1,ISNUMBER(SEARCH("tpbsu",[1]OUT_TransportEnergyCons!$C$3:$C$1000))*1,[1]OUT_TransportEnergyCons!G$3:G$1000)</f>
        <v>1.7785118231754182E-7</v>
      </c>
      <c r="J1369" s="1" cm="1">
        <f t="array" ref="J1369">SUMPRODUCT(("T_B_u-ICEnga-S1"=[1]OUT_TransportEnergyCons!$A$3:$A$1000)*1,("var_fout"=[1]OUT_TransportEnergyCons!$B$3:$B$1000)*1,ISNUMBER(SEARCH("tpbsu",[1]OUT_TransportEnergyCons!$C$3:$C$1000))*1,[1]OUT_TransportEnergyCons!H$3:H$1000)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SUMPRODUCT(("T_B_u-ICEnga-S1"=[1]OUT_TransportEnergyCons!$A$3:$A$1000)*1,("var_fout"=[1]OUT_TransportEnergyCons!$B$3:$B$1000)*1,ISNUMBER(SEARCH("tpbsu",[1]OUT_TransportEnergyCons!$C$3:$C$1000))*1,[1]OUT_TransportEnergyCons!I$3:I$1000)</f>
        <v>0</v>
      </c>
    </row>
    <row r="1370" spans="2:11" x14ac:dyDescent="0.35">
      <c r="B1370" s="5" t="str">
        <f t="shared" si="851"/>
        <v>SPS1</v>
      </c>
      <c r="C1370" s="5" t="str">
        <f t="shared" si="852"/>
        <v>CH</v>
      </c>
      <c r="D1370" t="s">
        <v>1368</v>
      </c>
      <c r="E1370" t="str">
        <f t="shared" si="853"/>
        <v>billion km/yr.</v>
      </c>
      <c r="F1370" s="1" cm="1">
        <f t="array" ref="F1370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0" s="1" cm="1">
        <f t="array" ref="G1370">SUMPRODUCT(("T_B_u-ICEnga-S2"=[1]OUT_TransportEnergyCons!$A$3:$A$1000)*1,("var_fout"=[1]OUT_TransportEnergyCons!$B$3:$B$1000)*1,ISNUMBER(SEARCH("tpbsu",[1]OUT_TransportEnergyCons!$C$3:$C$1000))*1,[1]OUT_TransportEnergyCons!E$3:E$1000)</f>
        <v>7.6364467403349405E-6</v>
      </c>
      <c r="H1370" s="1" cm="1">
        <f t="array" ref="H1370">SUMPRODUCT(("T_B_u-ICEnga-S2"=[1]OUT_TransportEnergyCons!$A$3:$A$1000)*1,("var_fout"=[1]OUT_TransportEnergyCons!$B$3:$B$1000)*1,ISNUMBER(SEARCH("tpbsu",[1]OUT_TransportEnergyCons!$C$3:$C$1000))*1,[1]OUT_TransportEnergyCons!F$3:F$1000)</f>
        <v>7.0272331971791142E-5</v>
      </c>
      <c r="I1370" s="1" cm="1">
        <f t="array" ref="I1370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SUMPRODUCT(("T_B_u-ICEnga-S2"=[1]OUT_TransportEnergyCons!$A$3:$A$1000)*1,("var_fout"=[1]OUT_TransportEnergyCons!$B$3:$B$1000)*1,ISNUMBER(SEARCH("tpbsu",[1]OUT_TransportEnergyCons!$C$3:$C$1000))*1,[1]OUT_TransportEnergyCons!I$3:I$1000)</f>
        <v>0</v>
      </c>
    </row>
    <row r="1371" spans="2:11" x14ac:dyDescent="0.35">
      <c r="B1371" s="5" t="str">
        <f t="shared" si="851"/>
        <v>SPS1</v>
      </c>
      <c r="C1371" s="5" t="str">
        <f t="shared" si="852"/>
        <v>CH</v>
      </c>
      <c r="D1371" t="s">
        <v>1369</v>
      </c>
      <c r="E1371" t="str">
        <f t="shared" si="853"/>
        <v>billion km/yr.</v>
      </c>
      <c r="F1371" s="1" cm="1">
        <f t="array" ref="F1371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SUMPRODUCT(("T_B_u-ICEnga-S3"=[1]OUT_TransportEnergyCons!$A$3:$A$1000)*1,("var_fout"=[1]OUT_TransportEnergyCons!$B$3:$B$1000)*1,ISNUMBER(SEARCH("tpbsu",[1]OUT_TransportEnergyCons!$C$3:$C$1000))*1,[1]OUT_TransportEnergyCons!E$3:E$1000)</f>
        <v>4.727151839479151E-6</v>
      </c>
      <c r="H1371" s="1" cm="1">
        <f t="array" ref="H1371">SUMPRODUCT(("T_B_u-ICEnga-S3"=[1]OUT_TransportEnergyCons!$A$3:$A$1000)*1,("var_fout"=[1]OUT_TransportEnergyCons!$B$3:$B$1000)*1,ISNUMBER(SEARCH("tpbsu",[1]OUT_TransportEnergyCons!$C$3:$C$1000))*1,[1]OUT_TransportEnergyCons!F$3:F$1000)</f>
        <v>1.6504772187046965E-3</v>
      </c>
      <c r="I1371" s="1" cm="1">
        <f t="array" ref="I1371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1" s="1" cm="1">
        <f t="array" ref="K1371">SUMPRODUCT(("T_B_u-ICEnga-S3"=[1]OUT_TransportEnergyCons!$A$3:$A$1000)*1,("var_fout"=[1]OUT_TransportEnergyCons!$B$3:$B$1000)*1,ISNUMBER(SEARCH("tpbsu",[1]OUT_TransportEnergyCons!$C$3:$C$1000))*1,[1]OUT_TransportEnergyCons!I$3:I$1000)</f>
        <v>1.1589286977160929E-6</v>
      </c>
    </row>
    <row r="1372" spans="2:11" x14ac:dyDescent="0.35">
      <c r="B1372" s="5" t="str">
        <f t="shared" si="851"/>
        <v>SPS1</v>
      </c>
      <c r="C1372" s="5" t="str">
        <f t="shared" si="852"/>
        <v>CH</v>
      </c>
      <c r="D1372" t="s">
        <v>1370</v>
      </c>
      <c r="E1372" t="str">
        <f t="shared" si="853"/>
        <v>billion km/yr.</v>
      </c>
      <c r="F1372" s="1" cm="1">
        <f t="array" ref="F1372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2" s="1" cm="1">
        <f t="array" ref="H1372">SUMPRODUCT(("T_B_u-ICEnga-S4"=[1]OUT_TransportEnergyCons!$A$3:$A$1000)*1,("var_fout"=[1]OUT_TransportEnergyCons!$B$3:$B$1000)*1,ISNUMBER(SEARCH("tpbsu",[1]OUT_TransportEnergyCons!$C$3:$C$1000))*1,[1]OUT_TransportEnergyCons!F$3:F$1000)</f>
        <v>0</v>
      </c>
      <c r="I1372" s="1" cm="1">
        <f t="array" ref="I1372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SUMPRODUCT(("T_B_u-ICEnga-S4"=[1]OUT_TransportEnergyCons!$A$3:$A$1000)*1,("var_fout"=[1]OUT_TransportEnergyCons!$B$3:$B$1000)*1,ISNUMBER(SEARCH("tpbsu",[1]OUT_TransportEnergyCons!$C$3:$C$1000))*1,[1]OUT_TransportEnergyCons!I$3:I$1000)</f>
        <v>6.6632925215148602E-7</v>
      </c>
    </row>
    <row r="1373" spans="2:11" x14ac:dyDescent="0.35">
      <c r="B1373" s="5" t="str">
        <f>B1372</f>
        <v>SPS1</v>
      </c>
      <c r="C1373" s="5" t="str">
        <f>C1372</f>
        <v>CH</v>
      </c>
      <c r="D1373" s="2" t="s">
        <v>1371</v>
      </c>
      <c r="E1373" s="2" t="s">
        <v>1230</v>
      </c>
      <c r="F1373" s="22" t="s">
        <v>292</v>
      </c>
      <c r="G1373" s="22" t="s">
        <v>292</v>
      </c>
      <c r="H1373" s="22" t="s">
        <v>292</v>
      </c>
      <c r="I1373" s="22" t="s">
        <v>292</v>
      </c>
      <c r="J1373" s="22" t="s">
        <v>292</v>
      </c>
      <c r="K1373" s="22" t="s">
        <v>292</v>
      </c>
    </row>
    <row r="1374" spans="2:11" x14ac:dyDescent="0.35">
      <c r="B1374" s="5" t="str">
        <f t="shared" ref="B1374:B1396" si="854">B1373</f>
        <v>SPS1</v>
      </c>
      <c r="C1374" s="5" t="str">
        <f t="shared" ref="C1374:C1396" si="855">C1373</f>
        <v>CH</v>
      </c>
      <c r="D1374" t="s">
        <v>1372</v>
      </c>
      <c r="E1374" t="s">
        <v>1230</v>
      </c>
      <c r="F1374" s="1">
        <f>IFERROR(F1350/F1315,"-")</f>
        <v>4.1906042144660312</v>
      </c>
      <c r="G1374" s="1">
        <f t="shared" ref="G1374:K1374" si="856">IFERROR(G1350/G1315,"-")</f>
        <v>3.3737507326839342</v>
      </c>
      <c r="H1374" s="1">
        <f t="shared" si="856"/>
        <v>2.1484705100107941</v>
      </c>
      <c r="I1374" s="1" t="str">
        <f t="shared" si="856"/>
        <v>-</v>
      </c>
      <c r="J1374" s="1" t="str">
        <f t="shared" si="856"/>
        <v>-</v>
      </c>
      <c r="K1374" s="1" t="str">
        <f t="shared" si="856"/>
        <v>-</v>
      </c>
    </row>
    <row r="1375" spans="2:11" x14ac:dyDescent="0.35">
      <c r="B1375" s="5" t="str">
        <f t="shared" si="854"/>
        <v>SPS1</v>
      </c>
      <c r="C1375" s="5" t="str">
        <f t="shared" si="855"/>
        <v>CH</v>
      </c>
      <c r="D1375" t="s">
        <v>1373</v>
      </c>
      <c r="E1375" t="s">
        <v>1230</v>
      </c>
      <c r="F1375" s="1">
        <f t="shared" ref="F1375:K1375" si="857">IFERROR(F1351/F1316,"-")</f>
        <v>0.37869321701871816</v>
      </c>
      <c r="G1375" s="1">
        <f t="shared" si="857"/>
        <v>0.3924200132336409</v>
      </c>
      <c r="H1375" s="1">
        <f t="shared" si="857"/>
        <v>0.4023612116484504</v>
      </c>
      <c r="I1375" s="1">
        <f t="shared" si="857"/>
        <v>0.4473150932113481</v>
      </c>
      <c r="J1375" s="1">
        <f t="shared" si="857"/>
        <v>0.476288146144216</v>
      </c>
      <c r="K1375" s="1">
        <f t="shared" si="857"/>
        <v>0.52886413012165245</v>
      </c>
    </row>
    <row r="1376" spans="2:11" x14ac:dyDescent="0.35">
      <c r="B1376" s="5" t="str">
        <f t="shared" si="854"/>
        <v>SPS1</v>
      </c>
      <c r="C1376" s="5" t="str">
        <f t="shared" si="855"/>
        <v>CH</v>
      </c>
      <c r="D1376" t="s">
        <v>1374</v>
      </c>
      <c r="E1376" t="s">
        <v>1230</v>
      </c>
      <c r="F1376" s="1">
        <f t="shared" ref="F1376:K1376" si="858">IFERROR(F1352/F1317,"-")</f>
        <v>0.27518070496490682</v>
      </c>
      <c r="G1376" s="1">
        <f t="shared" si="858"/>
        <v>0.27730054779467667</v>
      </c>
      <c r="H1376" s="1">
        <f t="shared" si="858"/>
        <v>0.28510499291501157</v>
      </c>
      <c r="I1376" s="1">
        <f t="shared" si="858"/>
        <v>0.32397815085668336</v>
      </c>
      <c r="J1376" s="1">
        <f t="shared" si="858"/>
        <v>0.34342824721568155</v>
      </c>
      <c r="K1376" s="1">
        <f t="shared" si="858"/>
        <v>0.38208104261226578</v>
      </c>
    </row>
    <row r="1377" spans="2:11" x14ac:dyDescent="0.35">
      <c r="B1377" s="5" t="str">
        <f t="shared" si="854"/>
        <v>SPS1</v>
      </c>
      <c r="C1377" s="5" t="str">
        <f t="shared" si="855"/>
        <v>CH</v>
      </c>
      <c r="D1377" t="s">
        <v>1375</v>
      </c>
      <c r="E1377" t="s">
        <v>1230</v>
      </c>
      <c r="F1377" s="1">
        <f t="shared" ref="F1377:K1377" si="859">IFERROR(F1353/F1318,"-")</f>
        <v>0.18297040713439922</v>
      </c>
      <c r="G1377" s="1">
        <f t="shared" si="859"/>
        <v>0.1842879309291677</v>
      </c>
      <c r="H1377" s="1">
        <f t="shared" si="859"/>
        <v>0.18617630318192588</v>
      </c>
      <c r="I1377" s="1">
        <f t="shared" si="859"/>
        <v>0.21586359793511226</v>
      </c>
      <c r="J1377" s="1">
        <f t="shared" si="859"/>
        <v>0.23538364889517019</v>
      </c>
      <c r="K1377" s="1">
        <f t="shared" si="859"/>
        <v>0.25666992877142186</v>
      </c>
    </row>
    <row r="1378" spans="2:11" x14ac:dyDescent="0.35">
      <c r="B1378" s="5" t="str">
        <f t="shared" si="854"/>
        <v>SPS1</v>
      </c>
      <c r="C1378" s="5" t="str">
        <f t="shared" si="855"/>
        <v>CH</v>
      </c>
      <c r="D1378" t="s">
        <v>1376</v>
      </c>
      <c r="E1378" t="s">
        <v>1230</v>
      </c>
      <c r="F1378" s="1">
        <f t="shared" ref="F1378:K1378" si="860">IFERROR(F1354/F1319,"-")</f>
        <v>0.12198710645807116</v>
      </c>
      <c r="G1378" s="1">
        <f t="shared" si="860"/>
        <v>0.12402667999725224</v>
      </c>
      <c r="H1378" s="1">
        <f t="shared" si="860"/>
        <v>0.12759866797364366</v>
      </c>
      <c r="I1378" s="1">
        <f t="shared" si="860"/>
        <v>0.14418437899333669</v>
      </c>
      <c r="J1378" s="1">
        <f t="shared" si="860"/>
        <v>0.15708298038967636</v>
      </c>
      <c r="K1378" s="1">
        <f t="shared" si="860"/>
        <v>0.17115818344720621</v>
      </c>
    </row>
    <row r="1379" spans="2:11" x14ac:dyDescent="0.35">
      <c r="B1379" s="5" t="str">
        <f t="shared" si="854"/>
        <v>SPS1</v>
      </c>
      <c r="C1379" s="5" t="str">
        <f t="shared" si="855"/>
        <v>CH</v>
      </c>
      <c r="D1379" t="s">
        <v>1377</v>
      </c>
      <c r="E1379" t="s">
        <v>1230</v>
      </c>
      <c r="F1379" s="1" t="str">
        <f>IFERROR(F1355/F1321,"-")</f>
        <v>-</v>
      </c>
      <c r="G1379" s="1" t="str">
        <f t="shared" ref="G1379:K1379" si="861">IFERROR(G1355/G1321,"-")</f>
        <v>-</v>
      </c>
      <c r="H1379" s="1" t="str">
        <f t="shared" si="861"/>
        <v>-</v>
      </c>
      <c r="I1379" s="1">
        <f t="shared" si="861"/>
        <v>0.23440176174444116</v>
      </c>
      <c r="J1379" s="1">
        <f t="shared" si="861"/>
        <v>0.26892135622915025</v>
      </c>
      <c r="K1379" s="1">
        <f t="shared" si="861"/>
        <v>0.30344095071385785</v>
      </c>
    </row>
    <row r="1380" spans="2:11" x14ac:dyDescent="0.35">
      <c r="B1380" s="5" t="str">
        <f t="shared" si="854"/>
        <v>SPS1</v>
      </c>
      <c r="C1380" s="5" t="str">
        <f t="shared" si="855"/>
        <v>CH</v>
      </c>
      <c r="D1380" t="s">
        <v>1378</v>
      </c>
      <c r="E1380" t="s">
        <v>1230</v>
      </c>
      <c r="F1380" s="1" t="str">
        <f t="shared" ref="F1380:K1380" si="862">IFERROR(F1356/F1322,"-")</f>
        <v>-</v>
      </c>
      <c r="G1380" s="1" t="str">
        <f t="shared" si="862"/>
        <v>-</v>
      </c>
      <c r="H1380" s="1" t="str">
        <f t="shared" si="862"/>
        <v>-</v>
      </c>
      <c r="I1380" s="1" t="str">
        <f t="shared" si="862"/>
        <v>-</v>
      </c>
      <c r="J1380" s="1" t="str">
        <f t="shared" si="862"/>
        <v>-</v>
      </c>
      <c r="K1380" s="1" t="str">
        <f t="shared" si="862"/>
        <v>-</v>
      </c>
    </row>
    <row r="1381" spans="2:11" x14ac:dyDescent="0.35">
      <c r="B1381" s="5" t="str">
        <f t="shared" si="854"/>
        <v>SPS1</v>
      </c>
      <c r="C1381" s="5" t="str">
        <f t="shared" si="855"/>
        <v>CH</v>
      </c>
      <c r="D1381" t="s">
        <v>1379</v>
      </c>
      <c r="E1381" t="s">
        <v>1230</v>
      </c>
      <c r="F1381" s="1" t="str">
        <f t="shared" ref="F1381:K1381" si="863">IFERROR(F1357/F1323,"-")</f>
        <v>-</v>
      </c>
      <c r="G1381" s="1" t="str">
        <f t="shared" si="863"/>
        <v>-</v>
      </c>
      <c r="H1381" s="1" t="str">
        <f t="shared" si="863"/>
        <v>-</v>
      </c>
      <c r="I1381" s="1" t="str">
        <f t="shared" si="863"/>
        <v>-</v>
      </c>
      <c r="J1381" s="1" t="str">
        <f t="shared" si="863"/>
        <v>-</v>
      </c>
      <c r="K1381" s="1">
        <f t="shared" si="863"/>
        <v>0.14658985260534693</v>
      </c>
    </row>
    <row r="1382" spans="2:11" x14ac:dyDescent="0.35">
      <c r="B1382" s="5" t="str">
        <f t="shared" si="854"/>
        <v>SPS1</v>
      </c>
      <c r="C1382" s="5" t="str">
        <f t="shared" si="855"/>
        <v>CH</v>
      </c>
      <c r="D1382" t="s">
        <v>1380</v>
      </c>
      <c r="E1382" t="s">
        <v>1230</v>
      </c>
      <c r="F1382" s="1" t="str">
        <f t="shared" ref="F1382:K1382" si="864">IFERROR(F1358/F1324,"-")</f>
        <v>-</v>
      </c>
      <c r="G1382" s="1" t="str">
        <f t="shared" si="864"/>
        <v>-</v>
      </c>
      <c r="H1382" s="1" t="str">
        <f t="shared" si="864"/>
        <v>-</v>
      </c>
      <c r="I1382" s="1" t="str">
        <f t="shared" si="864"/>
        <v>-</v>
      </c>
      <c r="J1382" s="1" t="str">
        <f t="shared" si="864"/>
        <v>-</v>
      </c>
      <c r="K1382" s="1" t="str">
        <f t="shared" si="864"/>
        <v>-</v>
      </c>
    </row>
    <row r="1383" spans="2:11" x14ac:dyDescent="0.35">
      <c r="B1383" s="5" t="str">
        <f t="shared" si="854"/>
        <v>SPS1</v>
      </c>
      <c r="C1383" s="5" t="str">
        <f t="shared" si="855"/>
        <v>CH</v>
      </c>
      <c r="D1383" t="s">
        <v>1381</v>
      </c>
      <c r="E1383" t="s">
        <v>1230</v>
      </c>
      <c r="F1383" s="1" t="str">
        <f>IFERROR(F1359/F1330,"-")</f>
        <v>-</v>
      </c>
      <c r="G1383" s="1">
        <f t="shared" ref="G1383:K1383" si="865">IFERROR(G1359/G1330,"-")</f>
        <v>0.16251369968883847</v>
      </c>
      <c r="H1383" s="1">
        <f t="shared" si="865"/>
        <v>0.16255204399273068</v>
      </c>
      <c r="I1383" s="1" t="str">
        <f t="shared" si="865"/>
        <v>-</v>
      </c>
      <c r="J1383" s="1" t="str">
        <f t="shared" si="865"/>
        <v>-</v>
      </c>
      <c r="K1383" s="1" t="str">
        <f t="shared" si="865"/>
        <v>-</v>
      </c>
    </row>
    <row r="1384" spans="2:11" x14ac:dyDescent="0.35">
      <c r="B1384" s="5" t="str">
        <f t="shared" si="854"/>
        <v>SPS1</v>
      </c>
      <c r="C1384" s="5" t="str">
        <f t="shared" si="855"/>
        <v>CH</v>
      </c>
      <c r="D1384" t="s">
        <v>1382</v>
      </c>
      <c r="E1384" t="s">
        <v>1230</v>
      </c>
      <c r="F1384" s="1" t="str">
        <f t="shared" ref="F1384:K1384" si="866">IFERROR(F1360/F1331,"-")</f>
        <v>-</v>
      </c>
      <c r="G1384" s="1">
        <f t="shared" si="866"/>
        <v>0.1164939343574414</v>
      </c>
      <c r="H1384" s="1">
        <f t="shared" si="866"/>
        <v>0.11820845137758332</v>
      </c>
      <c r="I1384" s="1" t="str">
        <f t="shared" si="866"/>
        <v>-</v>
      </c>
      <c r="J1384" s="1" t="str">
        <f t="shared" si="866"/>
        <v>-</v>
      </c>
      <c r="K1384" s="1" t="str">
        <f t="shared" si="866"/>
        <v>-</v>
      </c>
    </row>
    <row r="1385" spans="2:11" x14ac:dyDescent="0.35">
      <c r="B1385" s="5" t="str">
        <f t="shared" si="854"/>
        <v>SPS1</v>
      </c>
      <c r="C1385" s="5" t="str">
        <f t="shared" si="855"/>
        <v>CH</v>
      </c>
      <c r="D1385" t="s">
        <v>1383</v>
      </c>
      <c r="E1385" t="s">
        <v>1230</v>
      </c>
      <c r="F1385" s="1" t="str">
        <f t="shared" ref="F1385:K1385" si="867">IFERROR(F1361/F1332,"-")</f>
        <v>-</v>
      </c>
      <c r="G1385" s="1">
        <f t="shared" si="867"/>
        <v>7.8235828164578872E-2</v>
      </c>
      <c r="H1385" s="1">
        <f t="shared" si="867"/>
        <v>7.922953907378448E-2</v>
      </c>
      <c r="I1385" s="1" t="str">
        <f t="shared" si="867"/>
        <v>-</v>
      </c>
      <c r="J1385" s="1" t="str">
        <f t="shared" si="867"/>
        <v>-</v>
      </c>
      <c r="K1385" s="1" t="str">
        <f t="shared" si="867"/>
        <v>-</v>
      </c>
    </row>
    <row r="1386" spans="2:11" x14ac:dyDescent="0.35">
      <c r="B1386" s="5" t="str">
        <f t="shared" si="854"/>
        <v>SPS1</v>
      </c>
      <c r="C1386" s="5" t="str">
        <f t="shared" si="855"/>
        <v>CH</v>
      </c>
      <c r="D1386" t="s">
        <v>1384</v>
      </c>
      <c r="E1386" t="s">
        <v>1230</v>
      </c>
      <c r="F1386" s="1" t="str">
        <f t="shared" ref="F1386:K1386" si="868">IFERROR(F1362/F1333,"-")</f>
        <v>-</v>
      </c>
      <c r="G1386" s="1" t="str">
        <f t="shared" si="868"/>
        <v>-</v>
      </c>
      <c r="H1386" s="1" t="str">
        <f t="shared" si="868"/>
        <v>-</v>
      </c>
      <c r="I1386" s="1" t="str">
        <f t="shared" si="868"/>
        <v>-</v>
      </c>
      <c r="J1386" s="1" t="str">
        <f t="shared" si="868"/>
        <v>-</v>
      </c>
      <c r="K1386" s="1" t="str">
        <f t="shared" si="868"/>
        <v>-</v>
      </c>
    </row>
    <row r="1387" spans="2:11" x14ac:dyDescent="0.35">
      <c r="B1387" s="5" t="str">
        <f t="shared" si="854"/>
        <v>SPS1</v>
      </c>
      <c r="C1387" s="5" t="str">
        <f t="shared" si="855"/>
        <v>CH</v>
      </c>
      <c r="D1387" t="s">
        <v>2003</v>
      </c>
      <c r="E1387" t="s">
        <v>1230</v>
      </c>
      <c r="F1387" s="1">
        <f>IFERROR(F1363/F1334,"-")</f>
        <v>13.968680714886789</v>
      </c>
      <c r="G1387" s="1">
        <f t="shared" ref="G1387:K1387" si="869">IFERROR(G1363/G1334,"-")</f>
        <v>11.189596541502656</v>
      </c>
      <c r="H1387" s="1">
        <f t="shared" si="869"/>
        <v>7.0209702814264121</v>
      </c>
      <c r="I1387" s="1" t="str">
        <f t="shared" si="869"/>
        <v>-</v>
      </c>
      <c r="J1387" s="1" t="str">
        <f t="shared" si="869"/>
        <v>-</v>
      </c>
      <c r="K1387" s="1" t="str">
        <f t="shared" si="869"/>
        <v>-</v>
      </c>
    </row>
    <row r="1388" spans="2:11" x14ac:dyDescent="0.35">
      <c r="B1388" s="5" t="str">
        <f t="shared" si="854"/>
        <v>SPS1</v>
      </c>
      <c r="C1388" s="5" t="str">
        <f t="shared" si="855"/>
        <v>CH</v>
      </c>
      <c r="D1388" t="s">
        <v>1385</v>
      </c>
      <c r="E1388" t="s">
        <v>1230</v>
      </c>
      <c r="F1388" s="1">
        <f t="shared" ref="F1388:K1388" si="870">IFERROR(F1364/F1335,"-")</f>
        <v>0.12391916748597498</v>
      </c>
      <c r="G1388" s="1">
        <f t="shared" si="870"/>
        <v>0.12850902011013654</v>
      </c>
      <c r="H1388" s="1">
        <f t="shared" si="870"/>
        <v>0.13200413213824316</v>
      </c>
      <c r="I1388" s="1">
        <f t="shared" si="870"/>
        <v>0.12391916748597502</v>
      </c>
      <c r="J1388" s="1" t="str">
        <f t="shared" si="870"/>
        <v>-</v>
      </c>
      <c r="K1388" s="1" t="str">
        <f t="shared" si="870"/>
        <v>-</v>
      </c>
    </row>
    <row r="1389" spans="2:11" x14ac:dyDescent="0.35">
      <c r="B1389" s="5" t="str">
        <f t="shared" si="854"/>
        <v>SPS1</v>
      </c>
      <c r="C1389" s="5" t="str">
        <f t="shared" si="855"/>
        <v>CH</v>
      </c>
      <c r="D1389" t="s">
        <v>1386</v>
      </c>
      <c r="E1389" t="s">
        <v>1230</v>
      </c>
      <c r="F1389" s="1">
        <f t="shared" ref="F1389:K1389" si="871">IFERROR(F1365/F1336,"-")</f>
        <v>8.7465847585616791E-2</v>
      </c>
      <c r="G1389" s="1">
        <f t="shared" si="871"/>
        <v>8.7783104384676972E-2</v>
      </c>
      <c r="H1389" s="1">
        <f t="shared" si="871"/>
        <v>9.094496572644252E-2</v>
      </c>
      <c r="I1389" s="1" t="str">
        <f t="shared" si="871"/>
        <v>-</v>
      </c>
      <c r="J1389" s="1" t="str">
        <f t="shared" si="871"/>
        <v>-</v>
      </c>
      <c r="K1389" s="1" t="str">
        <f t="shared" si="871"/>
        <v>-</v>
      </c>
    </row>
    <row r="1390" spans="2:11" x14ac:dyDescent="0.35">
      <c r="B1390" s="5" t="str">
        <f t="shared" si="854"/>
        <v>SPS1</v>
      </c>
      <c r="C1390" s="5" t="str">
        <f t="shared" si="855"/>
        <v>CH</v>
      </c>
      <c r="D1390" t="s">
        <v>1387</v>
      </c>
      <c r="E1390" t="s">
        <v>1230</v>
      </c>
      <c r="F1390" s="1">
        <f t="shared" ref="F1390:K1390" si="872">IFERROR(F1366/F1337,"-")</f>
        <v>5.7949527986548677E-2</v>
      </c>
      <c r="G1390" s="1">
        <f t="shared" si="872"/>
        <v>5.8190062306763921E-2</v>
      </c>
      <c r="H1390" s="1">
        <f t="shared" si="872"/>
        <v>6.0257258212493517E-2</v>
      </c>
      <c r="I1390" s="1" t="str">
        <f t="shared" si="872"/>
        <v>-</v>
      </c>
      <c r="J1390" s="1" t="str">
        <f t="shared" si="872"/>
        <v>-</v>
      </c>
      <c r="K1390" s="1" t="str">
        <f t="shared" si="872"/>
        <v>-</v>
      </c>
    </row>
    <row r="1391" spans="2:11" x14ac:dyDescent="0.35">
      <c r="B1391" s="5" t="str">
        <f t="shared" si="854"/>
        <v>SPS1</v>
      </c>
      <c r="C1391" s="5" t="str">
        <f t="shared" si="855"/>
        <v>CH</v>
      </c>
      <c r="D1391" t="s">
        <v>1388</v>
      </c>
      <c r="E1391" t="s">
        <v>1230</v>
      </c>
      <c r="F1391" s="1">
        <f t="shared" ref="F1391:K1391" si="873">IFERROR(F1367/F1338,"-")</f>
        <v>3.8646481387947511E-2</v>
      </c>
      <c r="G1391" s="1" t="str">
        <f t="shared" si="873"/>
        <v>-</v>
      </c>
      <c r="H1391" s="1">
        <f t="shared" si="873"/>
        <v>3.8810070370595195E-2</v>
      </c>
      <c r="I1391" s="1" t="str">
        <f t="shared" si="873"/>
        <v>-</v>
      </c>
      <c r="J1391" s="1" t="str">
        <f t="shared" si="873"/>
        <v>-</v>
      </c>
      <c r="K1391" s="1" t="str">
        <f t="shared" si="873"/>
        <v>-</v>
      </c>
    </row>
    <row r="1392" spans="2:11" x14ac:dyDescent="0.35">
      <c r="B1392" s="5" t="str">
        <f t="shared" si="854"/>
        <v>SPS1</v>
      </c>
      <c r="C1392" s="5" t="str">
        <f t="shared" si="855"/>
        <v>CH</v>
      </c>
      <c r="D1392" t="s">
        <v>2007</v>
      </c>
      <c r="E1392" t="s">
        <v>1230</v>
      </c>
      <c r="F1392" s="1">
        <f>IFERROR(F1368/F1344,"-")</f>
        <v>13.968680714886805</v>
      </c>
      <c r="G1392" s="1">
        <f t="shared" ref="G1392:K1392" si="874">IFERROR(G1368/G1344,"-")</f>
        <v>11.186996076539064</v>
      </c>
      <c r="H1392" s="1">
        <f t="shared" si="874"/>
        <v>7.0144691190174786</v>
      </c>
      <c r="I1392" s="1" t="str">
        <f t="shared" si="874"/>
        <v>-</v>
      </c>
      <c r="J1392" s="1" t="str">
        <f t="shared" si="874"/>
        <v>-</v>
      </c>
      <c r="K1392" s="1" t="str">
        <f t="shared" si="874"/>
        <v>-</v>
      </c>
    </row>
    <row r="1393" spans="2:11" x14ac:dyDescent="0.35">
      <c r="B1393" s="5" t="str">
        <f t="shared" si="854"/>
        <v>SPS1</v>
      </c>
      <c r="C1393" s="5" t="str">
        <f t="shared" si="855"/>
        <v>CH</v>
      </c>
      <c r="D1393" t="s">
        <v>1389</v>
      </c>
      <c r="E1393" t="s">
        <v>1230</v>
      </c>
      <c r="F1393" s="1" t="str">
        <f t="shared" ref="F1393:K1393" si="875">IFERROR(F1369/F1345,"-")</f>
        <v>-</v>
      </c>
      <c r="G1393" s="1">
        <f t="shared" si="875"/>
        <v>0.12023751974847229</v>
      </c>
      <c r="H1393" s="1">
        <f t="shared" si="875"/>
        <v>0.12433503461012141</v>
      </c>
      <c r="I1393" s="1">
        <f t="shared" si="875"/>
        <v>0.12344503155772965</v>
      </c>
      <c r="J1393" s="1" t="str">
        <f t="shared" si="875"/>
        <v>-</v>
      </c>
      <c r="K1393" s="1" t="str">
        <f t="shared" si="875"/>
        <v>-</v>
      </c>
    </row>
    <row r="1394" spans="2:11" x14ac:dyDescent="0.35">
      <c r="B1394" s="5" t="str">
        <f t="shared" si="854"/>
        <v>SPS1</v>
      </c>
      <c r="C1394" s="5" t="str">
        <f t="shared" si="855"/>
        <v>CH</v>
      </c>
      <c r="D1394" t="s">
        <v>1390</v>
      </c>
      <c r="E1394" t="s">
        <v>1230</v>
      </c>
      <c r="F1394" s="1" t="str">
        <f t="shared" ref="F1394:K1394" si="876">IFERROR(F1370/F1346,"-")</f>
        <v>-</v>
      </c>
      <c r="G1394" s="1">
        <f t="shared" si="876"/>
        <v>8.4998076233608874E-2</v>
      </c>
      <c r="H1394" s="1">
        <f t="shared" si="876"/>
        <v>8.8765547485851679E-2</v>
      </c>
      <c r="I1394" s="1" t="str">
        <f t="shared" si="876"/>
        <v>-</v>
      </c>
      <c r="J1394" s="1" t="str">
        <f t="shared" si="876"/>
        <v>-</v>
      </c>
      <c r="K1394" s="1" t="str">
        <f t="shared" si="876"/>
        <v>-</v>
      </c>
    </row>
    <row r="1395" spans="2:11" x14ac:dyDescent="0.35">
      <c r="B1395" s="5" t="str">
        <f t="shared" si="854"/>
        <v>SPS1</v>
      </c>
      <c r="C1395" s="5" t="str">
        <f t="shared" si="855"/>
        <v>CH</v>
      </c>
      <c r="D1395" t="s">
        <v>1391</v>
      </c>
      <c r="E1395" t="s">
        <v>1230</v>
      </c>
      <c r="F1395" s="1" t="str">
        <f t="shared" ref="F1395:K1395" si="877">IFERROR(F1371/F1347,"-")</f>
        <v>-</v>
      </c>
      <c r="G1395" s="1">
        <f t="shared" si="877"/>
        <v>5.6422133461237117E-2</v>
      </c>
      <c r="H1395" s="1">
        <f t="shared" si="877"/>
        <v>5.9345309864497632E-2</v>
      </c>
      <c r="I1395" s="1" t="str">
        <f t="shared" si="877"/>
        <v>-</v>
      </c>
      <c r="J1395" s="1" t="str">
        <f t="shared" si="877"/>
        <v>-</v>
      </c>
      <c r="K1395" s="1">
        <f t="shared" si="877"/>
        <v>7.0958063870597457E-2</v>
      </c>
    </row>
    <row r="1396" spans="2:11" x14ac:dyDescent="0.35">
      <c r="B1396" s="5" t="str">
        <f t="shared" si="854"/>
        <v>SPS1</v>
      </c>
      <c r="C1396" s="5" t="str">
        <f t="shared" si="855"/>
        <v>CH</v>
      </c>
      <c r="D1396" t="s">
        <v>1392</v>
      </c>
      <c r="E1396" t="s">
        <v>1230</v>
      </c>
      <c r="F1396" s="1" t="str">
        <f t="shared" ref="F1396:K1396" si="878">IFERROR(F1372/F1348,"-")</f>
        <v>-</v>
      </c>
      <c r="G1396" s="1" t="str">
        <f t="shared" si="878"/>
        <v>-</v>
      </c>
      <c r="H1396" s="1" t="str">
        <f t="shared" si="878"/>
        <v>-</v>
      </c>
      <c r="I1396" s="1" t="str">
        <f t="shared" si="878"/>
        <v>-</v>
      </c>
      <c r="J1396" s="1" t="str">
        <f t="shared" si="878"/>
        <v>-</v>
      </c>
      <c r="K1396" s="1">
        <f t="shared" si="878"/>
        <v>4.7499172390542466E-2</v>
      </c>
    </row>
    <row r="1397" spans="2:11" x14ac:dyDescent="0.35">
      <c r="B1397" s="9" t="str">
        <f>B1396</f>
        <v>SPS1</v>
      </c>
      <c r="C1397" s="9" t="str">
        <f>C1396</f>
        <v>CH</v>
      </c>
      <c r="D1397" s="2" t="s">
        <v>1395</v>
      </c>
      <c r="E1397" s="2" t="s">
        <v>8</v>
      </c>
      <c r="F1397" s="3">
        <f>F1398+F1404+F1409+F1423</f>
        <v>0.81339775657594071</v>
      </c>
      <c r="G1397" s="3">
        <f t="shared" ref="G1397" si="879">G1398+G1404+G1409+G1423</f>
        <v>0.84548465097752712</v>
      </c>
      <c r="H1397" s="3">
        <f t="shared" ref="H1397" si="880">H1398+H1404+H1409+H1423</f>
        <v>1.0387006723282624</v>
      </c>
      <c r="I1397" s="3">
        <f t="shared" ref="I1397" si="881">I1398+I1404+I1409+I1423</f>
        <v>0.37854797664443546</v>
      </c>
      <c r="J1397" s="3">
        <f t="shared" ref="J1397" si="882">J1398+J1404+J1409+J1423</f>
        <v>0.35387073393190388</v>
      </c>
      <c r="K1397" s="3">
        <f t="shared" ref="K1397" si="883">K1398+K1404+K1409+K1423</f>
        <v>0.31401295781407462</v>
      </c>
    </row>
    <row r="1398" spans="2:11" x14ac:dyDescent="0.35">
      <c r="B1398" s="5" t="str">
        <f>B1397</f>
        <v>SPS1</v>
      </c>
      <c r="C1398" s="5" t="str">
        <f>C1397</f>
        <v>CH</v>
      </c>
      <c r="D1398" t="s">
        <v>1396</v>
      </c>
      <c r="E1398" t="s">
        <v>8</v>
      </c>
      <c r="F1398" s="1">
        <f>SUM(F1399:F1403)</f>
        <v>1.1510094520265802E-3</v>
      </c>
      <c r="G1398" s="1">
        <f t="shared" ref="G1398" si="884">SUM(G1399:G1403)</f>
        <v>2.5484785314554715E-3</v>
      </c>
      <c r="H1398" s="1">
        <f t="shared" ref="H1398" si="885">SUM(H1399:H1403)</f>
        <v>3.2381254919259706E-3</v>
      </c>
      <c r="I1398" s="1">
        <f t="shared" ref="I1398" si="886">SUM(I1399:I1403)</f>
        <v>0.37852181725314532</v>
      </c>
      <c r="J1398" s="1">
        <f t="shared" ref="J1398" si="887">SUM(J1399:J1403)</f>
        <v>0.35379366155411396</v>
      </c>
      <c r="K1398" s="1">
        <f t="shared" ref="K1398" si="888">SUM(K1399:K1403)</f>
        <v>0.31399131114551687</v>
      </c>
    </row>
    <row r="1399" spans="2:11" x14ac:dyDescent="0.35">
      <c r="B1399" s="5" t="str">
        <f t="shared" ref="B1399:B1432" si="889">B1398</f>
        <v>SPS1</v>
      </c>
      <c r="C1399" s="5" t="str">
        <f t="shared" ref="C1399:C1432" si="890">C1398</f>
        <v>CH</v>
      </c>
      <c r="D1399" t="s">
        <v>1397</v>
      </c>
      <c r="E1399" t="s">
        <v>8</v>
      </c>
      <c r="F1399" s="1" cm="1">
        <f t="array" ref="F1399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399" s="1" cm="1">
        <f t="array" ref="G1399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399" s="1" cm="1">
        <f t="array" ref="H1399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399" s="1" cm="1">
        <f t="array" ref="I1399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399" s="1" cm="1">
        <f t="array" ref="J1399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399" s="1" cm="1">
        <f t="array" ref="K1399">SUMPRODUCT(("T_B_c-BeVELCEXT"=[1]OUT_TransportEnergyCons!$A$3:$A$1000)*1,("Var_Fin"=[1]OUT_TransportEnergyCons!$B$3:$B$1000)*1,ISNUMBER(SEARCH("ELC",[1]OUT_TransportEnergyCons!$C$3:$C$1000))*1,[1]OUT_TransportEnergyCons!I$3:I$1000)</f>
        <v>0</v>
      </c>
    </row>
    <row r="1400" spans="2:11" x14ac:dyDescent="0.35">
      <c r="B1400" s="5" t="str">
        <f t="shared" si="889"/>
        <v>SPS1</v>
      </c>
      <c r="C1400" s="5" t="str">
        <f t="shared" si="890"/>
        <v>CH</v>
      </c>
      <c r="D1400" t="s">
        <v>1398</v>
      </c>
      <c r="E1400" t="s">
        <v>8</v>
      </c>
      <c r="F1400" s="1" cm="1">
        <f t="array" ref="F1400">SUMPRODUCT(("T_B_c-BEVELC-S1"=[1]OUT_TransportEnergyCons!$A$3:$A$1000)*1,("Var_Fin"=[1]OUT_TransportEnergyCons!$B$3:$B$1000)*1,ISNUMBER(SEARCH("ELC",[1]OUT_TransportEnergyCons!$C$3:$C$1000))*1,[1]OUT_TransportEnergyCons!D$3:D$1000)</f>
        <v>3.7346314031717301E-4</v>
      </c>
      <c r="G1400" s="1" cm="1">
        <f t="array" ref="G1400">SUMPRODUCT(("T_B_c-BEVELC-S1"=[1]OUT_TransportEnergyCons!$A$3:$A$1000)*1,("Var_Fin"=[1]OUT_TransportEnergyCons!$B$3:$B$1000)*1,ISNUMBER(SEARCH("ELC",[1]OUT_TransportEnergyCons!$C$3:$C$1000))*1,[1]OUT_TransportEnergyCons!E$3:E$1000)</f>
        <v>1.5322732366876795E-3</v>
      </c>
      <c r="H1400" s="1" cm="1">
        <f t="array" ref="H1400">SUMPRODUCT(("T_B_c-BEVELC-S1"=[1]OUT_TransportEnergyCons!$A$3:$A$1000)*1,("Var_Fin"=[1]OUT_TransportEnergyCons!$B$3:$B$1000)*1,ISNUMBER(SEARCH("ELC",[1]OUT_TransportEnergyCons!$C$3:$C$1000))*1,[1]OUT_TransportEnergyCons!F$3:F$1000)</f>
        <v>2.0227361169205399E-3</v>
      </c>
      <c r="I1400" s="1" cm="1">
        <f t="array" ref="I1400">SUMPRODUCT(("T_B_c-BEVELC-S1"=[1]OUT_TransportEnergyCons!$A$3:$A$1000)*1,("Var_Fin"=[1]OUT_TransportEnergyCons!$B$3:$B$1000)*1,ISNUMBER(SEARCH("ELC",[1]OUT_TransportEnergyCons!$C$3:$C$1000))*1,[1]OUT_TransportEnergyCons!G$3:G$1000)</f>
        <v>0.14468690073525248</v>
      </c>
      <c r="J1400" s="1" cm="1">
        <f t="array" ref="J1400">SUMPRODUCT(("T_B_c-BEVELC-S1"=[1]OUT_TransportEnergyCons!$A$3:$A$1000)*1,("Var_Fin"=[1]OUT_TransportEnergyCons!$B$3:$B$1000)*1,ISNUMBER(SEARCH("ELC",[1]OUT_TransportEnergyCons!$C$3:$C$1000))*1,[1]OUT_TransportEnergyCons!H$3:H$1000)</f>
        <v>0.13762856191592843</v>
      </c>
      <c r="K1400" s="1" cm="1">
        <f t="array" ref="K1400">SUMPRODUCT(("T_B_c-BEVELC-S1"=[1]OUT_TransportEnergyCons!$A$3:$A$1000)*1,("Var_Fin"=[1]OUT_TransportEnergyCons!$B$3:$B$1000)*1,ISNUMBER(SEARCH("ELC",[1]OUT_TransportEnergyCons!$C$3:$C$1000))*1,[1]OUT_TransportEnergyCons!I$3:I$1000)</f>
        <v>0.11880609322142066</v>
      </c>
    </row>
    <row r="1401" spans="2:11" x14ac:dyDescent="0.35">
      <c r="B1401" s="5" t="str">
        <f t="shared" si="889"/>
        <v>SPS1</v>
      </c>
      <c r="C1401" s="5" t="str">
        <f t="shared" si="890"/>
        <v>CH</v>
      </c>
      <c r="D1401" t="s">
        <v>1399</v>
      </c>
      <c r="E1401" t="s">
        <v>8</v>
      </c>
      <c r="F1401" s="1" cm="1">
        <f t="array" ref="F1401">SUMPRODUCT(("T_B_c-BEVELC-S2"=[1]OUT_TransportEnergyCons!$A$3:$A$1000)*1,("Var_Fin"=[1]OUT_TransportEnergyCons!$B$3:$B$1000)*1,ISNUMBER(SEARCH("ELC",[1]OUT_TransportEnergyCons!$C$3:$C$1000))*1,[1]OUT_TransportEnergyCons!D$3:D$1000)</f>
        <v>5.8397072324306327E-4</v>
      </c>
      <c r="G1401" s="1" cm="1">
        <f t="array" ref="G1401">SUMPRODUCT(("T_B_c-BEVELC-S2"=[1]OUT_TransportEnergyCons!$A$3:$A$1000)*1,("Var_Fin"=[1]OUT_TransportEnergyCons!$B$3:$B$1000)*1,ISNUMBER(SEARCH("ELC",[1]OUT_TransportEnergyCons!$C$3:$C$1000))*1,[1]OUT_TransportEnergyCons!E$3:E$1000)</f>
        <v>7.3989066991224448E-4</v>
      </c>
      <c r="H1401" s="1" cm="1">
        <f t="array" ref="H1401">SUMPRODUCT(("T_B_c-BEVELC-S2"=[1]OUT_TransportEnergyCons!$A$3:$A$1000)*1,("Var_Fin"=[1]OUT_TransportEnergyCons!$B$3:$B$1000)*1,ISNUMBER(SEARCH("ELC",[1]OUT_TransportEnergyCons!$C$3:$C$1000))*1,[1]OUT_TransportEnergyCons!F$3:F$1000)</f>
        <v>8.714554299777339E-4</v>
      </c>
      <c r="I1401" s="1" cm="1">
        <f t="array" ref="I1401">SUMPRODUCT(("T_B_c-BEVELC-S2"=[1]OUT_TransportEnergyCons!$A$3:$A$1000)*1,("Var_Fin"=[1]OUT_TransportEnergyCons!$B$3:$B$1000)*1,ISNUMBER(SEARCH("ELC",[1]OUT_TransportEnergyCons!$C$3:$C$1000))*1,[1]OUT_TransportEnergyCons!G$3:G$1000)</f>
        <v>0.17699278179854414</v>
      </c>
      <c r="J1401" s="1" cm="1">
        <f t="array" ref="J1401">SUMPRODUCT(("T_B_c-BEVELC-S2"=[1]OUT_TransportEnergyCons!$A$3:$A$1000)*1,("Var_Fin"=[1]OUT_TransportEnergyCons!$B$3:$B$1000)*1,ISNUMBER(SEARCH("ELC",[1]OUT_TransportEnergyCons!$C$3:$C$1000))*1,[1]OUT_TransportEnergyCons!H$3:H$1000)</f>
        <v>0.16399033829529364</v>
      </c>
      <c r="K1401" s="1" cm="1">
        <f t="array" ref="K1401">SUMPRODUCT(("T_B_c-BEVELC-S2"=[1]OUT_TransportEnergyCons!$A$3:$A$1000)*1,("Var_Fin"=[1]OUT_TransportEnergyCons!$B$3:$B$1000)*1,ISNUMBER(SEARCH("ELC",[1]OUT_TransportEnergyCons!$C$3:$C$1000))*1,[1]OUT_TransportEnergyCons!I$3:I$1000)</f>
        <v>0.14829414820271797</v>
      </c>
    </row>
    <row r="1402" spans="2:11" x14ac:dyDescent="0.35">
      <c r="B1402" s="5" t="str">
        <f t="shared" si="889"/>
        <v>SPS1</v>
      </c>
      <c r="C1402" s="5" t="str">
        <f t="shared" si="890"/>
        <v>CH</v>
      </c>
      <c r="D1402" t="s">
        <v>1400</v>
      </c>
      <c r="E1402" t="s">
        <v>8</v>
      </c>
      <c r="F1402" s="1" cm="1">
        <f t="array" ref="F1402">SUMPRODUCT(("T_B_c-BEVELC-S3"=[1]OUT_TransportEnergyCons!$A$3:$A$1000)*1,("Var_Fin"=[1]OUT_TransportEnergyCons!$B$3:$B$1000)*1,ISNUMBER(SEARCH("ELC",[1]OUT_TransportEnergyCons!$C$3:$C$1000))*1,[1]OUT_TransportEnergyCons!D$3:D$1000)</f>
        <v>1.9357558846634385E-4</v>
      </c>
      <c r="G1402" s="1" cm="1">
        <f t="array" ref="G1402">SUMPRODUCT(("T_B_c-BEVELC-S3"=[1]OUT_TransportEnergyCons!$A$3:$A$1000)*1,("Var_Fin"=[1]OUT_TransportEnergyCons!$B$3:$B$1000)*1,ISNUMBER(SEARCH("ELC",[1]OUT_TransportEnergyCons!$C$3:$C$1000))*1,[1]OUT_TransportEnergyCons!E$3:E$1000)</f>
        <v>2.4995541815635682E-4</v>
      </c>
      <c r="H1402" s="1" cm="1">
        <f t="array" ref="H1402">SUMPRODUCT(("T_B_c-BEVELC-S3"=[1]OUT_TransportEnergyCons!$A$3:$A$1000)*1,("Var_Fin"=[1]OUT_TransportEnergyCons!$B$3:$B$1000)*1,ISNUMBER(SEARCH("ELC",[1]OUT_TransportEnergyCons!$C$3:$C$1000))*1,[1]OUT_TransportEnergyCons!F$3:F$1000)</f>
        <v>3.1051904521309118E-4</v>
      </c>
      <c r="I1402" s="1" cm="1">
        <f t="array" ref="I1402">SUMPRODUCT(("T_B_c-BEVELC-S3"=[1]OUT_TransportEnergyCons!$A$3:$A$1000)*1,("Var_Fin"=[1]OUT_TransportEnergyCons!$B$3:$B$1000)*1,ISNUMBER(SEARCH("ELC",[1]OUT_TransportEnergyCons!$C$3:$C$1000))*1,[1]OUT_TransportEnergyCons!G$3:G$1000)</f>
        <v>5.6829824026673879E-2</v>
      </c>
      <c r="J1402" s="1" cm="1">
        <f t="array" ref="J1402">SUMPRODUCT(("T_B_c-BEVELC-S3"=[1]OUT_TransportEnergyCons!$A$3:$A$1000)*1,("Var_Fin"=[1]OUT_TransportEnergyCons!$B$3:$B$1000)*1,ISNUMBER(SEARCH("ELC",[1]OUT_TransportEnergyCons!$C$3:$C$1000))*1,[1]OUT_TransportEnergyCons!H$3:H$1000)</f>
        <v>5.2098502383772997E-2</v>
      </c>
      <c r="K1402" s="1" cm="1">
        <f t="array" ref="K1402">SUMPRODUCT(("T_B_c-BEVELC-S3"=[1]OUT_TransportEnergyCons!$A$3:$A$1000)*1,("Var_Fin"=[1]OUT_TransportEnergyCons!$B$3:$B$1000)*1,ISNUMBER(SEARCH("ELC",[1]OUT_TransportEnergyCons!$C$3:$C$1000))*1,[1]OUT_TransportEnergyCons!I$3:I$1000)</f>
        <v>4.6870535385720447E-2</v>
      </c>
    </row>
    <row r="1403" spans="2:11" x14ac:dyDescent="0.35">
      <c r="B1403" s="5" t="str">
        <f t="shared" si="889"/>
        <v>SPS1</v>
      </c>
      <c r="C1403" s="5" t="str">
        <f t="shared" si="890"/>
        <v>CH</v>
      </c>
      <c r="D1403" t="s">
        <v>1401</v>
      </c>
      <c r="E1403" t="s">
        <v>8</v>
      </c>
      <c r="F1403" s="1" cm="1">
        <f t="array" ref="F1403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3" s="1" cm="1">
        <f t="array" ref="G1403">SUMPRODUCT(("T_B_c-BEVELC-S4"=[1]OUT_TransportEnergyCons!$A$3:$A$1000)*1,("Var_Fin"=[1]OUT_TransportEnergyCons!$B$3:$B$1000)*1,ISNUMBER(SEARCH("ELC",[1]OUT_TransportEnergyCons!$C$3:$C$1000))*1,[1]OUT_TransportEnergyCons!E$3:E$1000)</f>
        <v>2.6359206699190983E-5</v>
      </c>
      <c r="H1403" s="1" cm="1">
        <f t="array" ref="H1403">SUMPRODUCT(("T_B_c-BEVELC-S4"=[1]OUT_TransportEnergyCons!$A$3:$A$1000)*1,("Var_Fin"=[1]OUT_TransportEnergyCons!$B$3:$B$1000)*1,ISNUMBER(SEARCH("ELC",[1]OUT_TransportEnergyCons!$C$3:$C$1000))*1,[1]OUT_TransportEnergyCons!F$3:F$1000)</f>
        <v>3.3414899814605417E-5</v>
      </c>
      <c r="I1403" s="1" cm="1">
        <f t="array" ref="I1403">SUMPRODUCT(("T_B_c-BEVELC-S4"=[1]OUT_TransportEnergyCons!$A$3:$A$1000)*1,("Var_Fin"=[1]OUT_TransportEnergyCons!$B$3:$B$1000)*1,ISNUMBER(SEARCH("ELC",[1]OUT_TransportEnergyCons!$C$3:$C$1000))*1,[1]OUT_TransportEnergyCons!G$3:G$1000)</f>
        <v>1.2310692674810324E-5</v>
      </c>
      <c r="J1403" s="1" cm="1">
        <f t="array" ref="J1403">SUMPRODUCT(("T_B_c-BEVELC-S4"=[1]OUT_TransportEnergyCons!$A$3:$A$1000)*1,("Var_Fin"=[1]OUT_TransportEnergyCons!$B$3:$B$1000)*1,ISNUMBER(SEARCH("ELC",[1]OUT_TransportEnergyCons!$C$3:$C$1000))*1,[1]OUT_TransportEnergyCons!H$3:H$1000)</f>
        <v>7.6258959118893519E-5</v>
      </c>
      <c r="K1403" s="1" cm="1">
        <f t="array" ref="K1403">SUMPRODUCT(("T_B_c-BEVELC-S4"=[1]OUT_TransportEnergyCons!$A$3:$A$1000)*1,("Var_Fin"=[1]OUT_TransportEnergyCons!$B$3:$B$1000)*1,ISNUMBER(SEARCH("ELC",[1]OUT_TransportEnergyCons!$C$3:$C$1000))*1,[1]OUT_TransportEnergyCons!I$3:I$1000)</f>
        <v>2.0534335657788978E-5</v>
      </c>
    </row>
    <row r="1404" spans="2:11" x14ac:dyDescent="0.35">
      <c r="B1404" s="5" t="str">
        <f t="shared" si="889"/>
        <v>SPS1</v>
      </c>
      <c r="C1404" s="5" t="str">
        <f t="shared" si="890"/>
        <v>CH</v>
      </c>
      <c r="D1404" t="s">
        <v>1402</v>
      </c>
      <c r="E1404" t="s">
        <v>8</v>
      </c>
      <c r="F1404" s="1">
        <f>SUM(F1405:F1408)</f>
        <v>0</v>
      </c>
      <c r="G1404" s="1">
        <f t="shared" ref="G1404" si="891">SUM(G1405:G1408)</f>
        <v>0</v>
      </c>
      <c r="H1404" s="1">
        <f t="shared" ref="H1404" si="892">SUM(H1405:H1408)</f>
        <v>0</v>
      </c>
      <c r="I1404" s="1">
        <f t="shared" ref="I1404" si="893">SUM(I1405:I1408)</f>
        <v>7.4578747927281868E-6</v>
      </c>
      <c r="J1404" s="1">
        <f t="shared" ref="J1404" si="894">SUM(J1405:J1408)</f>
        <v>7.4225377196417198E-7</v>
      </c>
      <c r="K1404" s="1">
        <f t="shared" ref="K1404" si="895">SUM(K1405:K1408)</f>
        <v>0</v>
      </c>
    </row>
    <row r="1405" spans="2:11" x14ac:dyDescent="0.35">
      <c r="B1405" s="5" t="str">
        <f t="shared" si="889"/>
        <v>SPS1</v>
      </c>
      <c r="C1405" s="5" t="str">
        <f t="shared" si="890"/>
        <v>CH</v>
      </c>
      <c r="D1405" t="s">
        <v>1403</v>
      </c>
      <c r="E1405" t="s">
        <v>8</v>
      </c>
      <c r="F1405" s="1" cm="1">
        <f t="array" ref="F1405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5" s="1" cm="1">
        <f t="array" ref="G1405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5" s="1" cm="1">
        <f t="array" ref="H1405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5" s="1" cm="1">
        <f t="array" ref="I1405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5" s="1" cm="1">
        <f t="array" ref="J1405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5" s="1" cm="1">
        <f t="array" ref="K1405">SUMPRODUCT(("T_B_c-FCLH2O-S1"=[1]OUT_TransportEnergyCons!$A$3:$A$1000)*1,("Var_Fin"=[1]OUT_TransportEnergyCons!$B$3:$B$1000)*1,ISNUMBER(SEARCH("H2",[1]OUT_TransportEnergyCons!$C$3:$C$1000))*1,[1]OUT_TransportEnergyCons!I$3:I$1000)</f>
        <v>0</v>
      </c>
    </row>
    <row r="1406" spans="2:11" x14ac:dyDescent="0.35">
      <c r="B1406" s="5" t="str">
        <f t="shared" si="889"/>
        <v>SPS1</v>
      </c>
      <c r="C1406" s="5" t="str">
        <f t="shared" si="890"/>
        <v>CH</v>
      </c>
      <c r="D1406" t="s">
        <v>1404</v>
      </c>
      <c r="E1406" t="s">
        <v>8</v>
      </c>
      <c r="F1406" s="1" cm="1">
        <f t="array" ref="F1406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6" s="1" cm="1">
        <f t="array" ref="G1406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6" s="1" cm="1">
        <f t="array" ref="H1406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6" s="1" cm="1">
        <f t="array" ref="I1406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6" s="1" cm="1">
        <f t="array" ref="J1406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6" s="1" cm="1">
        <f t="array" ref="K1406">SUMPRODUCT(("T_B_c-FCLH2O-S2"=[1]OUT_TransportEnergyCons!$A$3:$A$1000)*1,("Var_Fin"=[1]OUT_TransportEnergyCons!$B$3:$B$1000)*1,ISNUMBER(SEARCH("H2",[1]OUT_TransportEnergyCons!$C$3:$C$1000))*1,[1]OUT_TransportEnergyCons!I$3:I$1000)</f>
        <v>0</v>
      </c>
    </row>
    <row r="1407" spans="2:11" x14ac:dyDescent="0.35">
      <c r="B1407" s="5" t="str">
        <f t="shared" si="889"/>
        <v>SPS1</v>
      </c>
      <c r="C1407" s="5" t="str">
        <f t="shared" si="890"/>
        <v>CH</v>
      </c>
      <c r="D1407" t="s">
        <v>1405</v>
      </c>
      <c r="E1407" t="s">
        <v>8</v>
      </c>
      <c r="F1407" s="1" cm="1">
        <f t="array" ref="F1407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SUMPRODUCT(("T_B_c-FCLH2O-S3"=[1]OUT_TransportEnergyCons!$A$3:$A$1000)*1,("Var_Fin"=[1]OUT_TransportEnergyCons!$B$3:$B$1000)*1,ISNUMBER(SEARCH("H2",[1]OUT_TransportEnergyCons!$C$3:$C$1000))*1,[1]OUT_TransportEnergyCons!G$3:G$1000)</f>
        <v>7.4578747927281868E-6</v>
      </c>
      <c r="J1407" s="1" cm="1">
        <f t="array" ref="J1407">SUMPRODUCT(("T_B_c-FCLH2O-S3"=[1]OUT_TransportEnergyCons!$A$3:$A$1000)*1,("Var_Fin"=[1]OUT_TransportEnergyCons!$B$3:$B$1000)*1,ISNUMBER(SEARCH("H2",[1]OUT_TransportEnergyCons!$C$3:$C$1000))*1,[1]OUT_TransportEnergyCons!H$3:H$1000)</f>
        <v>7.4225377196417198E-7</v>
      </c>
      <c r="K1407" s="1" cm="1">
        <f t="array" ref="K1407">SUMPRODUCT(("T_B_c-FCLH2O-S3"=[1]OUT_TransportEnergyCons!$A$3:$A$1000)*1,("Var_Fin"=[1]OUT_TransportEnergyCons!$B$3:$B$1000)*1,ISNUMBER(SEARCH("H2",[1]OUT_TransportEnergyCons!$C$3:$C$1000))*1,[1]OUT_TransportEnergyCons!I$3:I$1000)</f>
        <v>0</v>
      </c>
    </row>
    <row r="1408" spans="2:11" x14ac:dyDescent="0.35">
      <c r="B1408" s="5" t="str">
        <f t="shared" si="889"/>
        <v>SPS1</v>
      </c>
      <c r="C1408" s="5" t="str">
        <f t="shared" si="890"/>
        <v>CH</v>
      </c>
      <c r="D1408" t="s">
        <v>1406</v>
      </c>
      <c r="E1408" t="s">
        <v>8</v>
      </c>
      <c r="F1408" s="1" cm="1">
        <f t="array" ref="F1408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SUMPRODUCT(("T_B_c-FCLH2O-S4"=[1]OUT_TransportEnergyCons!$A$3:$A$1000)*1,("Var_Fin"=[1]OUT_TransportEnergyCons!$B$3:$B$1000)*1,ISNUMBER(SEARCH("H2",[1]OUT_TransportEnergyCons!$C$3:$C$1000))*1,[1]OUT_TransportEnergyCons!I$3:I$1000)</f>
        <v>0</v>
      </c>
    </row>
    <row r="1409" spans="2:11" x14ac:dyDescent="0.35">
      <c r="B1409" s="5" t="str">
        <f t="shared" si="889"/>
        <v>SPS1</v>
      </c>
      <c r="C1409" s="5" t="str">
        <f t="shared" si="890"/>
        <v>CH</v>
      </c>
      <c r="D1409" t="s">
        <v>1407</v>
      </c>
      <c r="E1409" t="s">
        <v>8</v>
      </c>
      <c r="F1409" s="1">
        <f>SUM(F1414:F1422)</f>
        <v>0.81210871228099935</v>
      </c>
      <c r="G1409" s="1">
        <f t="shared" ref="G1409:K1409" si="896">SUM(G1414:G1422)</f>
        <v>0.84256609487912748</v>
      </c>
      <c r="H1409" s="1">
        <f t="shared" si="896"/>
        <v>1.0345295891454742</v>
      </c>
      <c r="I1409" s="1">
        <f t="shared" si="896"/>
        <v>1.870151649743087E-5</v>
      </c>
      <c r="J1409" s="1">
        <f t="shared" si="896"/>
        <v>6.1702822346044382E-5</v>
      </c>
      <c r="K1409" s="1">
        <f t="shared" si="896"/>
        <v>2.0314662835693409E-5</v>
      </c>
    </row>
    <row r="1410" spans="2:11" x14ac:dyDescent="0.35">
      <c r="B1410" s="5" t="str">
        <f t="shared" si="889"/>
        <v>SPS1</v>
      </c>
      <c r="C1410" s="5" t="str">
        <f t="shared" si="890"/>
        <v>CH</v>
      </c>
      <c r="D1410" t="s">
        <v>1408</v>
      </c>
      <c r="E1410" t="s">
        <v>8</v>
      </c>
      <c r="F1410" s="1">
        <f>F1409-F1411</f>
        <v>0.79192879661480664</v>
      </c>
      <c r="G1410" s="1">
        <f t="shared" ref="G1410" si="897">G1409-G1411</f>
        <v>0.82060821421964392</v>
      </c>
      <c r="H1410" s="1">
        <f t="shared" ref="H1410" si="898">H1409-H1411</f>
        <v>0.98810425824957226</v>
      </c>
      <c r="I1410" s="1">
        <f t="shared" ref="I1410" si="899">I1409-I1411</f>
        <v>1.7689594164686933E-5</v>
      </c>
      <c r="J1410" s="1">
        <f t="shared" ref="J1410" si="900">J1409-J1411</f>
        <v>1.8361971021537038E-5</v>
      </c>
      <c r="K1410" s="1">
        <f t="shared" ref="K1410" si="901">K1409-K1411</f>
        <v>-6.0066676188637815E-5</v>
      </c>
    </row>
    <row r="1411" spans="2:11" x14ac:dyDescent="0.35">
      <c r="B1411" s="5" t="str">
        <f t="shared" si="889"/>
        <v>SPS1</v>
      </c>
      <c r="C1411" s="5" t="str">
        <f t="shared" si="890"/>
        <v>CH</v>
      </c>
      <c r="D1411" t="s">
        <v>1409</v>
      </c>
      <c r="E1411" t="s">
        <v>8</v>
      </c>
      <c r="F1411" s="1">
        <f>SUM(F1412:F1413)</f>
        <v>2.0179915666192722E-2</v>
      </c>
      <c r="G1411" s="1">
        <f t="shared" ref="G1411" si="902">SUM(G1412:G1413)</f>
        <v>2.195788065948354E-2</v>
      </c>
      <c r="H1411" s="1">
        <f t="shared" ref="H1411" si="903">SUM(H1412:H1413)</f>
        <v>4.6425330895901958E-2</v>
      </c>
      <c r="I1411" s="1">
        <f t="shared" ref="I1411" si="904">SUM(I1412:I1413)</f>
        <v>1.0119223327439362E-6</v>
      </c>
      <c r="J1411" s="1">
        <f t="shared" ref="J1411" si="905">SUM(J1412:J1413)</f>
        <v>4.3340851324507344E-5</v>
      </c>
      <c r="K1411" s="1">
        <f t="shared" ref="K1411" si="906">SUM(K1412:K1413)</f>
        <v>8.038133902433122E-5</v>
      </c>
    </row>
    <row r="1412" spans="2:11" x14ac:dyDescent="0.35">
      <c r="B1412" s="5" t="str">
        <f t="shared" si="889"/>
        <v>SPS1</v>
      </c>
      <c r="C1412" s="5" t="str">
        <f t="shared" si="890"/>
        <v>CH</v>
      </c>
      <c r="D1412" t="s">
        <v>1410</v>
      </c>
      <c r="E1412" t="s">
        <v>8</v>
      </c>
      <c r="F1412" s="1">
        <f>[1]Transport!B$26/SUM([1]Transport!B$22,[1]Transport!B$26)*F1409*(F$33+F$580)/(F$33+F$580+F$36)</f>
        <v>2.0179915666192722E-2</v>
      </c>
      <c r="G1412" s="1">
        <f>[1]Transport!C$26/SUM([1]Transport!C$22,[1]Transport!C$26)*G1409*(G$33+G$580)/(G$33+G$580+G$36)</f>
        <v>2.195788065948354E-2</v>
      </c>
      <c r="H1412" s="1">
        <f>[1]Transport!D$26/SUM([1]Transport!D$22,[1]Transport!D$26)*H1409*(H$33+H$580)/(H$33+H$580+H$36)</f>
        <v>4.6425330895901958E-2</v>
      </c>
      <c r="I1412" s="1">
        <f>[1]Transport!E$26/SUM([1]Transport!E$22,[1]Transport!E$26)*I1409*(I$33+I$580)/(I$33+I$580+I$36)</f>
        <v>1.0119223327439362E-6</v>
      </c>
      <c r="J1412" s="1">
        <f>[1]Transport!F$26/SUM([1]Transport!F$22,[1]Transport!F$26)*J1409*(J$33+J$580)/(J$33+J$580+J$36)</f>
        <v>1.724971083179419E-6</v>
      </c>
      <c r="K1412" s="1">
        <f>[1]Transport!G$26/SUM([1]Transport!G$22,[1]Transport!G$26)*K1409*(K$33+K$580)/(K$33+K$580+K$36)</f>
        <v>6.9424919478307408E-6</v>
      </c>
    </row>
    <row r="1413" spans="2:11" x14ac:dyDescent="0.35">
      <c r="B1413" s="5" t="str">
        <f t="shared" si="889"/>
        <v>SPS1</v>
      </c>
      <c r="C1413" s="5" t="str">
        <f t="shared" si="890"/>
        <v>CH</v>
      </c>
      <c r="D1413" t="s">
        <v>1411</v>
      </c>
      <c r="E1413" t="s">
        <v>8</v>
      </c>
      <c r="F1413" s="1">
        <f>(F$36+F$716)/([1]Transport!B$22+[1]Transport!B$26)*F1409</f>
        <v>0</v>
      </c>
      <c r="G1413" s="1">
        <f>(G$36+G$716)/([1]Transport!C$22+[1]Transport!C$26)*G1409</f>
        <v>0</v>
      </c>
      <c r="H1413" s="1">
        <f>(H$36+H$716)/([1]Transport!D$22+[1]Transport!D$26)*H1409</f>
        <v>0</v>
      </c>
      <c r="I1413" s="1">
        <f>(I$36+I$716)/([1]Transport!E$22+[1]Transport!E$26)*I1409</f>
        <v>0</v>
      </c>
      <c r="J1413" s="1">
        <f>(J$36+J$716)/([1]Transport!F$22+[1]Transport!F$26)*J1409</f>
        <v>4.1615880241327928E-5</v>
      </c>
      <c r="K1413" s="1">
        <f>(K$36+K$716)/([1]Transport!G$22+[1]Transport!G$26)*K1409</f>
        <v>7.3438847076500479E-5</v>
      </c>
    </row>
    <row r="1414" spans="2:11" x14ac:dyDescent="0.35">
      <c r="B1414" s="5" t="str">
        <f t="shared" si="889"/>
        <v>SPS1</v>
      </c>
      <c r="C1414" s="5" t="str">
        <f t="shared" si="890"/>
        <v>CH</v>
      </c>
      <c r="D1414" t="s">
        <v>1412</v>
      </c>
      <c r="E1414" t="s">
        <v>8</v>
      </c>
      <c r="F1414" s="1" cm="1">
        <f t="array" ref="F1414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4" s="1" cm="1">
        <f t="array" ref="G1414">SUMPRODUCT(("T_B_c-HYBDSL-S1"=[1]OUT_TransportEnergyCons!$A$3:$A$1000)*1,("Var_Fin"=[1]OUT_TransportEnergyCons!$B$3:$B$1000)*1,ISNUMBER(SEARCH("DSL",[1]OUT_TransportEnergyCons!$C$3:$C$1000))*1,[1]OUT_TransportEnergyCons!E$3:E$1000)</f>
        <v>1.1542558724302484E-3</v>
      </c>
      <c r="H1414" s="1" cm="1">
        <f t="array" ref="H1414">SUMPRODUCT(("T_B_c-HYBDSL-S1"=[1]OUT_TransportEnergyCons!$A$3:$A$1000)*1,("Var_Fin"=[1]OUT_TransportEnergyCons!$B$3:$B$1000)*1,ISNUMBER(SEARCH("DSL",[1]OUT_TransportEnergyCons!$C$3:$C$1000))*1,[1]OUT_TransportEnergyCons!F$3:F$1000)</f>
        <v>1.3327276371044537E-3</v>
      </c>
      <c r="I1414" s="1" cm="1">
        <f t="array" ref="I1414">SUMPRODUCT(("T_B_c-HYBDSL-S1"=[1]OUT_TransportEnergyCons!$A$3:$A$1000)*1,("Var_Fin"=[1]OUT_TransportEnergyCons!$B$3:$B$1000)*1,ISNUMBER(SEARCH("DSL",[1]OUT_TransportEnergyCons!$C$3:$C$1000))*1,[1]OUT_TransportEnergyCons!G$3:G$1000)</f>
        <v>0</v>
      </c>
      <c r="J1414" s="1" cm="1">
        <f t="array" ref="J1414">SUMPRODUCT(("T_B_c-HYBDSL-S1"=[1]OUT_TransportEnergyCons!$A$3:$A$1000)*1,("Var_Fin"=[1]OUT_TransportEnergyCons!$B$3:$B$1000)*1,ISNUMBER(SEARCH("DSL",[1]OUT_TransportEnergyCons!$C$3:$C$1000))*1,[1]OUT_TransportEnergyCons!H$3:H$1000)</f>
        <v>1.178933747161867E-5</v>
      </c>
      <c r="K1414" s="1" cm="1">
        <f t="array" ref="K1414">SUMPRODUCT(("T_B_c-HYBDSL-S1"=[1]OUT_TransportEnergyCons!$A$3:$A$1000)*1,("Var_Fin"=[1]OUT_TransportEnergyCons!$B$3:$B$1000)*1,ISNUMBER(SEARCH("DSL",[1]OUT_TransportEnergyCons!$C$3:$C$1000))*1,[1]OUT_TransportEnergyCons!I$3:I$1000)</f>
        <v>3.8204793895553535E-6</v>
      </c>
    </row>
    <row r="1415" spans="2:11" x14ac:dyDescent="0.35">
      <c r="B1415" s="5" t="str">
        <f t="shared" si="889"/>
        <v>SPS1</v>
      </c>
      <c r="C1415" s="5" t="str">
        <f t="shared" si="890"/>
        <v>CH</v>
      </c>
      <c r="D1415" t="s">
        <v>1413</v>
      </c>
      <c r="E1415" t="s">
        <v>8</v>
      </c>
      <c r="F1415" s="1" cm="1">
        <f t="array" ref="F1415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5" s="1" cm="1">
        <f t="array" ref="G1415">SUMPRODUCT(("T_B_c-HYBDSL-S2"=[1]OUT_TransportEnergyCons!$A$3:$A$1000)*1,("Var_Fin"=[1]OUT_TransportEnergyCons!$B$3:$B$1000)*1,ISNUMBER(SEARCH("DSL",[1]OUT_TransportEnergyCons!$C$3:$C$1000))*1,[1]OUT_TransportEnergyCons!E$3:E$1000)</f>
        <v>1.0331112903818614E-4</v>
      </c>
      <c r="H1415" s="1" cm="1">
        <f t="array" ref="H1415">SUMPRODUCT(("T_B_c-HYBDSL-S2"=[1]OUT_TransportEnergyCons!$A$3:$A$1000)*1,("Var_Fin"=[1]OUT_TransportEnergyCons!$B$3:$B$1000)*1,ISNUMBER(SEARCH("DSL",[1]OUT_TransportEnergyCons!$C$3:$C$1000))*1,[1]OUT_TransportEnergyCons!F$3:F$1000)</f>
        <v>1.9095187163253857E-4</v>
      </c>
      <c r="I1415" s="1" cm="1">
        <f t="array" ref="I1415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5" s="1" cm="1">
        <f t="array" ref="J1415">SUMPRODUCT(("T_B_c-HYBDSL-S2"=[1]OUT_TransportEnergyCons!$A$3:$A$1000)*1,("Var_Fin"=[1]OUT_TransportEnergyCons!$B$3:$B$1000)*1,ISNUMBER(SEARCH("DSL",[1]OUT_TransportEnergyCons!$C$3:$C$1000))*1,[1]OUT_TransportEnergyCons!H$3:H$1000)</f>
        <v>1.996970119140957E-5</v>
      </c>
      <c r="K1415" s="1" cm="1">
        <f t="array" ref="K1415">SUMPRODUCT(("T_B_c-HYBDSL-S2"=[1]OUT_TransportEnergyCons!$A$3:$A$1000)*1,("Var_Fin"=[1]OUT_TransportEnergyCons!$B$3:$B$1000)*1,ISNUMBER(SEARCH("DSL",[1]OUT_TransportEnergyCons!$C$3:$C$1000))*1,[1]OUT_TransportEnergyCons!I$3:I$1000)</f>
        <v>6.7235314009604037E-6</v>
      </c>
    </row>
    <row r="1416" spans="2:11" x14ac:dyDescent="0.35">
      <c r="B1416" s="5" t="str">
        <f t="shared" si="889"/>
        <v>SPS1</v>
      </c>
      <c r="C1416" s="5" t="str">
        <f t="shared" si="890"/>
        <v>CH</v>
      </c>
      <c r="D1416" t="s">
        <v>1414</v>
      </c>
      <c r="E1416" t="s">
        <v>8</v>
      </c>
      <c r="F1416" s="1" cm="1">
        <f t="array" ref="F1416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SUMPRODUCT(("T_B_c-HYBDSL-S3"=[1]OUT_TransportEnergyCons!$A$3:$A$1000)*1,("Var_Fin"=[1]OUT_TransportEnergyCons!$B$3:$B$1000)*1,ISNUMBER(SEARCH("DSL",[1]OUT_TransportEnergyCons!$C$3:$C$1000))*1,[1]OUT_TransportEnergyCons!E$3:E$1000)</f>
        <v>6.1436246572119465E-5</v>
      </c>
      <c r="H1416" s="1" cm="1">
        <f t="array" ref="H1416">SUMPRODUCT(("T_B_c-HYBDSL-S3"=[1]OUT_TransportEnergyCons!$A$3:$A$1000)*1,("Var_Fin"=[1]OUT_TransportEnergyCons!$B$3:$B$1000)*1,ISNUMBER(SEARCH("DSL",[1]OUT_TransportEnergyCons!$C$3:$C$1000))*1,[1]OUT_TransportEnergyCons!F$3:F$1000)</f>
        <v>1.0740985130040807E-4</v>
      </c>
      <c r="I1416" s="1" cm="1">
        <f t="array" ref="I1416">SUMPRODUCT(("T_B_c-HYBDSL-S3"=[1]OUT_TransportEnergyCons!$A$3:$A$1000)*1,("Var_Fin"=[1]OUT_TransportEnergyCons!$B$3:$B$1000)*1,ISNUMBER(SEARCH("DSL",[1]OUT_TransportEnergyCons!$C$3:$C$1000))*1,[1]OUT_TransportEnergyCons!G$3:G$1000)</f>
        <v>1.870151649743087E-5</v>
      </c>
      <c r="J1416" s="1" cm="1">
        <f t="array" ref="J1416">SUMPRODUCT(("T_B_c-HYBDSL-S3"=[1]OUT_TransportEnergyCons!$A$3:$A$1000)*1,("Var_Fin"=[1]OUT_TransportEnergyCons!$B$3:$B$1000)*1,ISNUMBER(SEARCH("DSL",[1]OUT_TransportEnergyCons!$C$3:$C$1000))*1,[1]OUT_TransportEnergyCons!H$3:H$1000)</f>
        <v>0</v>
      </c>
      <c r="K1416" s="1" cm="1">
        <f t="array" ref="K1416">SUMPRODUCT(("T_B_c-HYBDSL-S3"=[1]OUT_TransportEnergyCons!$A$3:$A$1000)*1,("Var_Fin"=[1]OUT_TransportEnergyCons!$B$3:$B$1000)*1,ISNUMBER(SEARCH("DSL",[1]OUT_TransportEnergyCons!$C$3:$C$1000))*1,[1]OUT_TransportEnergyCons!I$3:I$1000)</f>
        <v>0</v>
      </c>
    </row>
    <row r="1417" spans="2:11" x14ac:dyDescent="0.35">
      <c r="B1417" s="5" t="str">
        <f t="shared" si="889"/>
        <v>SPS1</v>
      </c>
      <c r="C1417" s="5" t="str">
        <f t="shared" si="890"/>
        <v>CH</v>
      </c>
      <c r="D1417" t="s">
        <v>1415</v>
      </c>
      <c r="E1417" t="s">
        <v>8</v>
      </c>
      <c r="F1417" s="1" cm="1">
        <f t="array" ref="F1417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SUMPRODUCT(("T_B_c-HYBDSL-S4"=[1]OUT_TransportEnergyCons!$A$3:$A$1000)*1,("Var_Fin"=[1]OUT_TransportEnergyCons!$B$3:$B$1000)*1,ISNUMBER(SEARCH("DSL",[1]OUT_TransportEnergyCons!$C$3:$C$1000))*1,[1]OUT_TransportEnergyCons!E$3:E$1000)</f>
        <v>2.6314413292653299E-6</v>
      </c>
      <c r="H1417" s="1" cm="1">
        <f t="array" ref="H1417">SUMPRODUCT(("T_B_c-HYBDSL-S4"=[1]OUT_TransportEnergyCons!$A$3:$A$1000)*1,("Var_Fin"=[1]OUT_TransportEnergyCons!$B$3:$B$1000)*1,ISNUMBER(SEARCH("DSL",[1]OUT_TransportEnergyCons!$C$3:$C$1000))*1,[1]OUT_TransportEnergyCons!F$3:F$1000)</f>
        <v>3.8346741922712033E-6</v>
      </c>
      <c r="I1417" s="1" cm="1">
        <f t="array" ref="I1417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SUMPRODUCT(("T_B_c-HYBDSL-S4"=[1]OUT_TransportEnergyCons!$A$3:$A$1000)*1,("Var_Fin"=[1]OUT_TransportEnergyCons!$B$3:$B$1000)*1,ISNUMBER(SEARCH("DSL",[1]OUT_TransportEnergyCons!$C$3:$C$1000))*1,[1]OUT_TransportEnergyCons!H$3:H$1000)</f>
        <v>0</v>
      </c>
      <c r="K1417" s="1" cm="1">
        <f t="array" ref="K1417">SUMPRODUCT(("T_B_c-HYBDSL-S4"=[1]OUT_TransportEnergyCons!$A$3:$A$1000)*1,("Var_Fin"=[1]OUT_TransportEnergyCons!$B$3:$B$1000)*1,ISNUMBER(SEARCH("DSL",[1]OUT_TransportEnergyCons!$C$3:$C$1000))*1,[1]OUT_TransportEnergyCons!I$3:I$1000)</f>
        <v>0</v>
      </c>
    </row>
    <row r="1418" spans="2:11" x14ac:dyDescent="0.35">
      <c r="B1418" s="5" t="str">
        <f t="shared" si="889"/>
        <v>SPS1</v>
      </c>
      <c r="C1418" s="5" t="str">
        <f t="shared" si="890"/>
        <v>CH</v>
      </c>
      <c r="D1418" t="s">
        <v>2116</v>
      </c>
      <c r="E1418" t="s">
        <v>8</v>
      </c>
      <c r="F1418" s="1" cm="1">
        <f t="array" ref="F1418">SUMPRODUCT(("T_B_c-ICEDSLEXT"=[1]OUT_TransportEnergyCons!$A$3:$A$1000)*1,("Var_Fin"=[1]OUT_TransportEnergyCons!$B$3:$B$1000)*1,ISNUMBER(SEARCH("DSL",[1]OUT_TransportEnergyCons!$C$3:$C$1000))*1,[1]OUT_TransportEnergyCons!D$3:D$1000)</f>
        <v>6.0280402629620099E-3</v>
      </c>
      <c r="G1418" s="1" cm="1">
        <f t="array" ref="G1418">SUMPRODUCT(("T_B_c-ICEDSLEXT"=[1]OUT_TransportEnergyCons!$A$3:$A$1000)*1,("Var_Fin"=[1]OUT_TransportEnergyCons!$B$3:$B$1000)*1,ISNUMBER(SEARCH("DSL",[1]OUT_TransportEnergyCons!$C$3:$C$1000))*1,[1]OUT_TransportEnergyCons!E$3:E$1000)</f>
        <v>6.0137648735283994E-3</v>
      </c>
      <c r="H1418" s="1" cm="1">
        <f t="array" ref="H1418">SUMPRODUCT(("T_B_c-ICEDSLEXT"=[1]OUT_TransportEnergyCons!$A$3:$A$1000)*1,("Var_Fin"=[1]OUT_TransportEnergyCons!$B$3:$B$1000)*1,ISNUMBER(SEARCH("DSL",[1]OUT_TransportEnergyCons!$C$3:$C$1000))*1,[1]OUT_TransportEnergyCons!F$3:F$1000)</f>
        <v>5.9699492249239991E-3</v>
      </c>
      <c r="I1418" s="1" cm="1">
        <f t="array" ref="I1418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18" s="1" cm="1">
        <f t="array" ref="J1418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18" s="1" cm="1">
        <f t="array" ref="K1418">SUMPRODUCT(("T_B_c-ICEDSLEXT"=[1]OUT_TransportEnergyCons!$A$3:$A$1000)*1,("Var_Fin"=[1]OUT_TransportEnergyCons!$B$3:$B$1000)*1,ISNUMBER(SEARCH("DSL",[1]OUT_TransportEnergyCons!$C$3:$C$1000))*1,[1]OUT_TransportEnergyCons!I$3:I$1000)</f>
        <v>0</v>
      </c>
    </row>
    <row r="1419" spans="2:11" x14ac:dyDescent="0.35">
      <c r="B1419" s="5" t="str">
        <f t="shared" si="889"/>
        <v>SPS1</v>
      </c>
      <c r="C1419" s="5" t="str">
        <f t="shared" si="890"/>
        <v>CH</v>
      </c>
      <c r="D1419" t="s">
        <v>1416</v>
      </c>
      <c r="E1419" t="s">
        <v>8</v>
      </c>
      <c r="F1419" s="1" cm="1">
        <f t="array" ref="F1419">SUMPRODUCT(("T_B_c-ICEDSL-S1"=[1]OUT_TransportEnergyCons!$A$3:$A$1000)*1,("Var_Fin"=[1]OUT_TransportEnergyCons!$B$3:$B$1000)*1,ISNUMBER(SEARCH("DSL",[1]OUT_TransportEnergyCons!$C$3:$C$1000))*1,[1]OUT_TransportEnergyCons!D$3:D$1000)</f>
        <v>0.11349782370581755</v>
      </c>
      <c r="G1419" s="1" cm="1">
        <f t="array" ref="G1419">SUMPRODUCT(("T_B_c-ICEDSL-S1"=[1]OUT_TransportEnergyCons!$A$3:$A$1000)*1,("Var_Fin"=[1]OUT_TransportEnergyCons!$B$3:$B$1000)*1,ISNUMBER(SEARCH("DSL",[1]OUT_TransportEnergyCons!$C$3:$C$1000))*1,[1]OUT_TransportEnergyCons!E$3:E$1000)</f>
        <v>0.30749027774165405</v>
      </c>
      <c r="H1419" s="1" cm="1">
        <f t="array" ref="H1419">SUMPRODUCT(("T_B_c-ICEDSL-S1"=[1]OUT_TransportEnergyCons!$A$3:$A$1000)*1,("Var_Fin"=[1]OUT_TransportEnergyCons!$B$3:$B$1000)*1,ISNUMBER(SEARCH("DSL",[1]OUT_TransportEnergyCons!$C$3:$C$1000))*1,[1]OUT_TransportEnergyCons!F$3:F$1000)</f>
        <v>0.37469773487011399</v>
      </c>
      <c r="I1419" s="1" cm="1">
        <f t="array" ref="I1419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SUMPRODUCT(("T_B_c-ICEDSL-S1"=[1]OUT_TransportEnergyCons!$A$3:$A$1000)*1,("Var_Fin"=[1]OUT_TransportEnergyCons!$B$3:$B$1000)*1,ISNUMBER(SEARCH("DSL",[1]OUT_TransportEnergyCons!$C$3:$C$1000))*1,[1]OUT_TransportEnergyCons!H$3:H$1000)</f>
        <v>1.1452509992963064E-5</v>
      </c>
      <c r="K1419" s="1" cm="1">
        <f t="array" ref="K1419">SUMPRODUCT(("T_B_c-ICEDSL-S1"=[1]OUT_TransportEnergyCons!$A$3:$A$1000)*1,("Var_Fin"=[1]OUT_TransportEnergyCons!$B$3:$B$1000)*1,ISNUMBER(SEARCH("DSL",[1]OUT_TransportEnergyCons!$C$3:$C$1000))*1,[1]OUT_TransportEnergyCons!I$3:I$1000)</f>
        <v>3.5364124490960462E-6</v>
      </c>
    </row>
    <row r="1420" spans="2:11" x14ac:dyDescent="0.35">
      <c r="B1420" s="5" t="str">
        <f t="shared" si="889"/>
        <v>SPS1</v>
      </c>
      <c r="C1420" s="5" t="str">
        <f t="shared" si="890"/>
        <v>CH</v>
      </c>
      <c r="D1420" t="s">
        <v>1417</v>
      </c>
      <c r="E1420" t="s">
        <v>8</v>
      </c>
      <c r="F1420" s="1" cm="1">
        <f t="array" ref="F1420">SUMPRODUCT(("T_B_c-ICEDSL-S2"=[1]OUT_TransportEnergyCons!$A$3:$A$1000)*1,("Var_Fin"=[1]OUT_TransportEnergyCons!$B$3:$B$1000)*1,ISNUMBER(SEARCH("DSL",[1]OUT_TransportEnergyCons!$C$3:$C$1000))*1,[1]OUT_TransportEnergyCons!D$3:D$1000)</f>
        <v>0.51957168669142395</v>
      </c>
      <c r="G1420" s="1" cm="1">
        <f t="array" ref="G1420">SUMPRODUCT(("T_B_c-ICEDSL-S2"=[1]OUT_TransportEnergyCons!$A$3:$A$1000)*1,("Var_Fin"=[1]OUT_TransportEnergyCons!$B$3:$B$1000)*1,ISNUMBER(SEARCH("DSL",[1]OUT_TransportEnergyCons!$C$3:$C$1000))*1,[1]OUT_TransportEnergyCons!E$3:E$1000)</f>
        <v>0.39900813438777699</v>
      </c>
      <c r="H1420" s="1" cm="1">
        <f t="array" ref="H1420">SUMPRODUCT(("T_B_c-ICEDSL-S2"=[1]OUT_TransportEnergyCons!$A$3:$A$1000)*1,("Var_Fin"=[1]OUT_TransportEnergyCons!$B$3:$B$1000)*1,ISNUMBER(SEARCH("DSL",[1]OUT_TransportEnergyCons!$C$3:$C$1000))*1,[1]OUT_TransportEnergyCons!F$3:F$1000)</f>
        <v>0.49319439498662204</v>
      </c>
      <c r="I1420" s="1" cm="1">
        <f t="array" ref="I1420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SUMPRODUCT(("T_B_c-ICEDSL-S2"=[1]OUT_TransportEnergyCons!$A$3:$A$1000)*1,("Var_Fin"=[1]OUT_TransportEnergyCons!$B$3:$B$1000)*1,ISNUMBER(SEARCH("DSL",[1]OUT_TransportEnergyCons!$C$3:$C$1000))*1,[1]OUT_TransportEnergyCons!H$3:H$1000)</f>
        <v>1.8491273690053083E-5</v>
      </c>
      <c r="K1420" s="1" cm="1">
        <f t="array" ref="K1420">SUMPRODUCT(("T_B_c-ICEDSL-S2"=[1]OUT_TransportEnergyCons!$A$3:$A$1000)*1,("Var_Fin"=[1]OUT_TransportEnergyCons!$B$3:$B$1000)*1,ISNUMBER(SEARCH("DSL",[1]OUT_TransportEnergyCons!$C$3:$C$1000))*1,[1]OUT_TransportEnergyCons!I$3:I$1000)</f>
        <v>6.2342395960816028E-6</v>
      </c>
    </row>
    <row r="1421" spans="2:11" x14ac:dyDescent="0.35">
      <c r="B1421" s="5" t="str">
        <f t="shared" si="889"/>
        <v>SPS1</v>
      </c>
      <c r="C1421" s="5" t="str">
        <f t="shared" si="890"/>
        <v>CH</v>
      </c>
      <c r="D1421" t="s">
        <v>1418</v>
      </c>
      <c r="E1421" t="s">
        <v>8</v>
      </c>
      <c r="F1421" s="1" cm="1">
        <f t="array" ref="F1421">SUMPRODUCT(("T_B_c-ICEDSL-S3"=[1]OUT_TransportEnergyCons!$A$3:$A$1000)*1,("Var_Fin"=[1]OUT_TransportEnergyCons!$B$3:$B$1000)*1,ISNUMBER(SEARCH("DSL",[1]OUT_TransportEnergyCons!$C$3:$C$1000))*1,[1]OUT_TransportEnergyCons!D$3:D$1000)</f>
        <v>0.16007478255289301</v>
      </c>
      <c r="G1421" s="1" cm="1">
        <f t="array" ref="G1421">SUMPRODUCT(("T_B_c-ICEDSL-S3"=[1]OUT_TransportEnergyCons!$A$3:$A$1000)*1,("Var_Fin"=[1]OUT_TransportEnergyCons!$B$3:$B$1000)*1,ISNUMBER(SEARCH("DSL",[1]OUT_TransportEnergyCons!$C$3:$C$1000))*1,[1]OUT_TransportEnergyCons!E$3:E$1000)</f>
        <v>0.12868749374593799</v>
      </c>
      <c r="H1421" s="1" cm="1">
        <f t="array" ref="H1421">SUMPRODUCT(("T_B_c-ICEDSL-S3"=[1]OUT_TransportEnergyCons!$A$3:$A$1000)*1,("Var_Fin"=[1]OUT_TransportEnergyCons!$B$3:$B$1000)*1,ISNUMBER(SEARCH("DSL",[1]OUT_TransportEnergyCons!$C$3:$C$1000))*1,[1]OUT_TransportEnergyCons!F$3:F$1000)</f>
        <v>0.15891829145266353</v>
      </c>
      <c r="I1421" s="1" cm="1">
        <f t="array" ref="I1421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SUMPRODUCT(("T_B_c-ICEDSL-S3"=[1]OUT_TransportEnergyCons!$A$3:$A$1000)*1,("Var_Fin"=[1]OUT_TransportEnergyCons!$B$3:$B$1000)*1,ISNUMBER(SEARCH("DSL",[1]OUT_TransportEnergyCons!$C$3:$C$1000))*1,[1]OUT_TransportEnergyCons!I$3:I$1000)</f>
        <v>0</v>
      </c>
    </row>
    <row r="1422" spans="2:11" x14ac:dyDescent="0.35">
      <c r="B1422" s="5" t="str">
        <f t="shared" si="889"/>
        <v>SPS1</v>
      </c>
      <c r="C1422" s="5" t="str">
        <f t="shared" si="890"/>
        <v>CH</v>
      </c>
      <c r="D1422" t="s">
        <v>1419</v>
      </c>
      <c r="E1422" t="s">
        <v>8</v>
      </c>
      <c r="F1422" s="1" cm="1">
        <f t="array" ref="F1422">SUMPRODUCT(("T_B_c-ICEDSL-S4"=[1]OUT_TransportEnergyCons!$A$3:$A$1000)*1,("Var_Fin"=[1]OUT_TransportEnergyCons!$B$3:$B$1000)*1,ISNUMBER(SEARCH("DSL",[1]OUT_TransportEnergyCons!$C$3:$C$1000))*1,[1]OUT_TransportEnergyCons!D$3:D$1000)</f>
        <v>1.2936379067902886E-2</v>
      </c>
      <c r="G1422" s="1" cm="1">
        <f t="array" ref="G1422">SUMPRODUCT(("T_B_c-ICEDSL-S4"=[1]OUT_TransportEnergyCons!$A$3:$A$1000)*1,("Var_Fin"=[1]OUT_TransportEnergyCons!$B$3:$B$1000)*1,ISNUMBER(SEARCH("DSL",[1]OUT_TransportEnergyCons!$C$3:$C$1000))*1,[1]OUT_TransportEnergyCons!E$3:E$1000)</f>
        <v>4.478944086013748E-5</v>
      </c>
      <c r="H1422" s="1" cm="1">
        <f t="array" ref="H1422">SUMPRODUCT(("T_B_c-ICEDSL-S4"=[1]OUT_TransportEnergyCons!$A$3:$A$1000)*1,("Var_Fin"=[1]OUT_TransportEnergyCons!$B$3:$B$1000)*1,ISNUMBER(SEARCH("DSL",[1]OUT_TransportEnergyCons!$C$3:$C$1000))*1,[1]OUT_TransportEnergyCons!F$3:F$1000)</f>
        <v>1.1429457692108016E-4</v>
      </c>
      <c r="I1422" s="1" cm="1">
        <f t="array" ref="I1422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SUMPRODUCT(("T_B_c-ICEDSL-S4"=[1]OUT_TransportEnergyCons!$A$3:$A$1000)*1,("Var_Fin"=[1]OUT_TransportEnergyCons!$B$3:$B$1000)*1,ISNUMBER(SEARCH("DSL",[1]OUT_TransportEnergyCons!$C$3:$C$1000))*1,[1]OUT_TransportEnergyCons!I$3:I$1000)</f>
        <v>0</v>
      </c>
    </row>
    <row r="1423" spans="2:11" x14ac:dyDescent="0.35">
      <c r="B1423" s="5" t="str">
        <f t="shared" si="889"/>
        <v>SPS1</v>
      </c>
      <c r="C1423" s="5" t="str">
        <f t="shared" si="890"/>
        <v>CH</v>
      </c>
      <c r="D1423" t="s">
        <v>1420</v>
      </c>
      <c r="E1423" t="s">
        <v>8</v>
      </c>
      <c r="F1423" s="1">
        <f>SUM(F1428:F1432)</f>
        <v>1.3803484291474656E-4</v>
      </c>
      <c r="G1423" s="1">
        <f t="shared" ref="G1423" si="907">SUM(G1428:G1432)</f>
        <v>3.7007756694413814E-4</v>
      </c>
      <c r="H1423" s="1">
        <f t="shared" ref="H1423" si="908">SUM(H1428:H1432)</f>
        <v>9.329576908620827E-4</v>
      </c>
      <c r="I1423" s="1">
        <f t="shared" ref="I1423" si="909">SUM(I1428:I1432)</f>
        <v>0</v>
      </c>
      <c r="J1423" s="1">
        <f t="shared" ref="J1423" si="910">SUM(J1428:J1432)</f>
        <v>1.4627301671964296E-5</v>
      </c>
      <c r="K1423" s="1">
        <f t="shared" ref="K1423" si="911">SUM(K1428:K1432)</f>
        <v>1.3320057220293737E-6</v>
      </c>
    </row>
    <row r="1424" spans="2:11" x14ac:dyDescent="0.35">
      <c r="B1424" s="5" t="str">
        <f t="shared" si="889"/>
        <v>SPS1</v>
      </c>
      <c r="C1424" s="5" t="str">
        <f t="shared" si="890"/>
        <v>CH</v>
      </c>
      <c r="D1424" t="s">
        <v>1421</v>
      </c>
      <c r="E1424" t="s">
        <v>8</v>
      </c>
      <c r="F1424" s="1">
        <f>F1423-F1425</f>
        <v>1.2770761787027029E-4</v>
      </c>
      <c r="G1424" s="1">
        <f t="shared" ref="G1424" si="912">G1423-G1425</f>
        <v>3.3428352922257375E-4</v>
      </c>
      <c r="H1424" s="1">
        <f t="shared" ref="H1424" si="913">H1423-H1425</f>
        <v>9.2376969282876784E-4</v>
      </c>
      <c r="I1424" s="1">
        <f t="shared" ref="I1424" si="914">I1423-I1425</f>
        <v>0</v>
      </c>
      <c r="J1424" s="1">
        <f t="shared" ref="J1424" si="915">J1423-J1425</f>
        <v>1.3115293082807768E-5</v>
      </c>
      <c r="K1424" s="1">
        <f t="shared" ref="K1424" si="916">K1423-K1425</f>
        <v>5.6049181163892396E-7</v>
      </c>
    </row>
    <row r="1425" spans="2:11" x14ac:dyDescent="0.35">
      <c r="B1425" s="5" t="str">
        <f t="shared" si="889"/>
        <v>SPS1</v>
      </c>
      <c r="C1425" s="5" t="str">
        <f t="shared" si="890"/>
        <v>CH</v>
      </c>
      <c r="D1425" t="s">
        <v>1422</v>
      </c>
      <c r="E1425" t="s">
        <v>8</v>
      </c>
      <c r="F1425" s="1">
        <f>SUM(F1426:F1427)</f>
        <v>1.032722504447626E-5</v>
      </c>
      <c r="G1425" s="1">
        <f t="shared" ref="G1425" si="917">SUM(G1426:G1427)</f>
        <v>3.579403772156436E-5</v>
      </c>
      <c r="H1425" s="1">
        <f t="shared" ref="H1425" si="918">SUM(H1426:H1427)</f>
        <v>9.1879980333148734E-6</v>
      </c>
      <c r="I1425" s="1">
        <f t="shared" ref="I1425" si="919">SUM(I1426:I1427)</f>
        <v>0</v>
      </c>
      <c r="J1425" s="1">
        <f t="shared" ref="J1425" si="920">SUM(J1426:J1427)</f>
        <v>1.5120085891565279E-6</v>
      </c>
      <c r="K1425" s="1">
        <f t="shared" ref="K1425" si="921">SUM(K1426:K1427)</f>
        <v>7.7151391039044979E-7</v>
      </c>
    </row>
    <row r="1426" spans="2:11" x14ac:dyDescent="0.35">
      <c r="B1426" s="5" t="str">
        <f t="shared" si="889"/>
        <v>SPS1</v>
      </c>
      <c r="C1426" s="5" t="str">
        <f t="shared" si="890"/>
        <v>CH</v>
      </c>
      <c r="D1426" t="s">
        <v>1423</v>
      </c>
      <c r="E1426" t="s">
        <v>8</v>
      </c>
      <c r="F1426" s="1">
        <f>[1]Transport!B$27/SUM([1]Transport!B$24,[1]Transport!B$27)*F1423*(F$45+F$612)/(F$45+F$612+F$47)</f>
        <v>1.032722504447626E-5</v>
      </c>
      <c r="G1426" s="1">
        <f>[1]Transport!C$27/SUM([1]Transport!C$24,[1]Transport!C$27)*G1423*(G$45+G$612)/(G$45+G$612+G$47)</f>
        <v>3.579403772156436E-5</v>
      </c>
      <c r="H1426" s="1">
        <f>[1]Transport!D$27/SUM([1]Transport!D$24,[1]Transport!D$27)*H1423*(H$45+H$612)/(H$45+H$612+H$47)</f>
        <v>9.1879980333148734E-6</v>
      </c>
      <c r="I1426" s="1">
        <f>[1]Transport!E$27/SUM([1]Transport!E$24,[1]Transport!E$27)*I1423*(I$45+I$612)/(I$45+I$612+I$47)</f>
        <v>0</v>
      </c>
      <c r="J1426" s="1">
        <f>[1]Transport!F$27/SUM([1]Transport!F$24,[1]Transport!F$27)*J1423*(J$45+J$612)/(J$45+J$612+J$47)</f>
        <v>5.4616316074352906E-7</v>
      </c>
      <c r="K1426" s="1">
        <f>[1]Transport!G$27/SUM([1]Transport!G$24,[1]Transport!G$27)*K1423*(K$45+K$612)/(K$45+K$612+K$47)</f>
        <v>2.2098430708891074E-7</v>
      </c>
    </row>
    <row r="1427" spans="2:11" x14ac:dyDescent="0.35">
      <c r="B1427" s="5" t="str">
        <f t="shared" si="889"/>
        <v>SPS1</v>
      </c>
      <c r="C1427" s="5" t="str">
        <f t="shared" si="890"/>
        <v>CH</v>
      </c>
      <c r="D1427" t="s">
        <v>1424</v>
      </c>
      <c r="E1427" t="s">
        <v>8</v>
      </c>
      <c r="F1427" s="1">
        <f>(F$47+F$714)/([1]Transport!B$24+[1]Transport!B$27)*F1423</f>
        <v>0</v>
      </c>
      <c r="G1427" s="1">
        <f>(G$47+G$714)/([1]Transport!C$24+[1]Transport!C$27)*G1423</f>
        <v>0</v>
      </c>
      <c r="H1427" s="1">
        <f>(H$47+H$714)/([1]Transport!D$24+[1]Transport!D$27)*H1423</f>
        <v>0</v>
      </c>
      <c r="I1427" s="1">
        <f>(I$47+I$714)/([1]Transport!E$24+[1]Transport!E$27)*I1423</f>
        <v>0</v>
      </c>
      <c r="J1427" s="1">
        <f>(J$47+J$714)/([1]Transport!F$24+[1]Transport!F$27)*J1423</f>
        <v>9.6584542841299883E-7</v>
      </c>
      <c r="K1427" s="1">
        <f>(K$47+K$714)/([1]Transport!G$24+[1]Transport!G$27)*K1423</f>
        <v>5.5052960330153905E-7</v>
      </c>
    </row>
    <row r="1428" spans="2:11" x14ac:dyDescent="0.35">
      <c r="B1428" s="5" t="str">
        <f t="shared" si="889"/>
        <v>SPS1</v>
      </c>
      <c r="C1428" s="5" t="str">
        <f t="shared" si="890"/>
        <v>CH</v>
      </c>
      <c r="D1428" t="s">
        <v>2119</v>
      </c>
      <c r="E1428" t="s">
        <v>8</v>
      </c>
      <c r="F1428" s="1" cm="1">
        <f t="array" ref="F1428">SUMPRODUCT(("T_B_c-ICEngaEXT"=[1]OUT_TransportEnergyCons!$A$3:$A$1000)*1,("Var_Fin"=[1]OUT_TransportEnergyCons!$B$3:$B$1000)*1,ISNUMBER(SEARCH("nga",[1]OUT_TransportEnergyCons!$C$3:$C$1000))*1,[1]OUT_TransportEnergyCons!D$3:D$1000)</f>
        <v>1.3803484291474656E-4</v>
      </c>
      <c r="G1428" s="1" cm="1">
        <f t="array" ref="G1428">SUMPRODUCT(("T_B_c-ICEngaEXT"=[1]OUT_TransportEnergyCons!$A$3:$A$1000)*1,("Var_Fin"=[1]OUT_TransportEnergyCons!$B$3:$B$1000)*1,ISNUMBER(SEARCH("nga",[1]OUT_TransportEnergyCons!$C$3:$C$1000))*1,[1]OUT_TransportEnergyCons!E$3:E$1000)</f>
        <v>1.3840497846364291E-4</v>
      </c>
      <c r="H1428" s="1" cm="1">
        <f t="array" ref="H1428">SUMPRODUCT(("T_B_c-ICEngaEXT"=[1]OUT_TransportEnergyCons!$A$3:$A$1000)*1,("Var_Fin"=[1]OUT_TransportEnergyCons!$B$3:$B$1000)*1,ISNUMBER(SEARCH("nga",[1]OUT_TransportEnergyCons!$C$3:$C$1000))*1,[1]OUT_TransportEnergyCons!F$3:F$1000)</f>
        <v>1.3705371164878015E-4</v>
      </c>
      <c r="I1428" s="1" cm="1">
        <f t="array" ref="I1428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28" s="1" cm="1">
        <f t="array" ref="J1428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28" s="1" cm="1">
        <f t="array" ref="K1428">SUMPRODUCT(("T_B_c-ICEngaEXT"=[1]OUT_TransportEnergyCons!$A$3:$A$1000)*1,("Var_Fin"=[1]OUT_TransportEnergyCons!$B$3:$B$1000)*1,ISNUMBER(SEARCH("nga",[1]OUT_TransportEnergyCons!$C$3:$C$1000))*1,[1]OUT_TransportEnergyCons!I$3:I$1000)</f>
        <v>0</v>
      </c>
    </row>
    <row r="1429" spans="2:11" x14ac:dyDescent="0.35">
      <c r="B1429" s="5" t="str">
        <f t="shared" si="889"/>
        <v>SPS1</v>
      </c>
      <c r="C1429" s="5" t="str">
        <f t="shared" si="890"/>
        <v>CH</v>
      </c>
      <c r="D1429" t="s">
        <v>1425</v>
      </c>
      <c r="E1429" t="s">
        <v>8</v>
      </c>
      <c r="F1429" s="1" cm="1">
        <f t="array" ref="F1429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29" s="1" cm="1">
        <f t="array" ref="G1429">SUMPRODUCT(("T_B_c-ICEnga-S1"=[1]OUT_TransportEnergyCons!$A$3:$A$1000)*1,("Var_Fin"=[1]OUT_TransportEnergyCons!$B$3:$B$1000)*1,ISNUMBER(SEARCH("nga",[1]OUT_TransportEnergyCons!$C$3:$C$1000))*1,[1]OUT_TransportEnergyCons!E$3:E$1000)</f>
        <v>1.2970617743689097E-4</v>
      </c>
      <c r="H1429" s="1" cm="1">
        <f t="array" ref="H1429">SUMPRODUCT(("T_B_c-ICEnga-S1"=[1]OUT_TransportEnergyCons!$A$3:$A$1000)*1,("Var_Fin"=[1]OUT_TransportEnergyCons!$B$3:$B$1000)*1,ISNUMBER(SEARCH("nga",[1]OUT_TransportEnergyCons!$C$3:$C$1000))*1,[1]OUT_TransportEnergyCons!F$3:F$1000)</f>
        <v>3.6516096128386502E-4</v>
      </c>
      <c r="I1429" s="1" cm="1">
        <f t="array" ref="I1429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29" s="1" cm="1">
        <f t="array" ref="J1429">SUMPRODUCT(("T_B_c-ICEnga-S1"=[1]OUT_TransportEnergyCons!$A$3:$A$1000)*1,("Var_Fin"=[1]OUT_TransportEnergyCons!$B$3:$B$1000)*1,ISNUMBER(SEARCH("nga",[1]OUT_TransportEnergyCons!$C$3:$C$1000))*1,[1]OUT_TransportEnergyCons!H$3:H$1000)</f>
        <v>3.050593004113422E-6</v>
      </c>
      <c r="K1429" s="1" cm="1">
        <f t="array" ref="K1429">SUMPRODUCT(("T_B_c-ICEnga-S1"=[1]OUT_TransportEnergyCons!$A$3:$A$1000)*1,("Var_Fin"=[1]OUT_TransportEnergyCons!$B$3:$B$1000)*1,ISNUMBER(SEARCH("nga",[1]OUT_TransportEnergyCons!$C$3:$C$1000))*1,[1]OUT_TransportEnergyCons!I$3:I$1000)</f>
        <v>0</v>
      </c>
    </row>
    <row r="1430" spans="2:11" x14ac:dyDescent="0.35">
      <c r="B1430" s="5" t="str">
        <f t="shared" si="889"/>
        <v>SPS1</v>
      </c>
      <c r="C1430" s="5" t="str">
        <f t="shared" si="890"/>
        <v>CH</v>
      </c>
      <c r="D1430" t="s">
        <v>1426</v>
      </c>
      <c r="E1430" t="s">
        <v>8</v>
      </c>
      <c r="F1430" s="1" cm="1">
        <f t="array" ref="F1430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0" s="1" cm="1">
        <f t="array" ref="G1430">SUMPRODUCT(("T_B_c-ICEnga-S2"=[1]OUT_TransportEnergyCons!$A$3:$A$1000)*1,("Var_Fin"=[1]OUT_TransportEnergyCons!$B$3:$B$1000)*1,ISNUMBER(SEARCH("nga",[1]OUT_TransportEnergyCons!$C$3:$C$1000))*1,[1]OUT_TransportEnergyCons!E$3:E$1000)</f>
        <v>6.2107143958885089E-5</v>
      </c>
      <c r="H1430" s="1" cm="1">
        <f t="array" ref="H1430">SUMPRODUCT(("T_B_c-ICEnga-S2"=[1]OUT_TransportEnergyCons!$A$3:$A$1000)*1,("Var_Fin"=[1]OUT_TransportEnergyCons!$B$3:$B$1000)*1,ISNUMBER(SEARCH("nga",[1]OUT_TransportEnergyCons!$C$3:$C$1000))*1,[1]OUT_TransportEnergyCons!F$3:F$1000)</f>
        <v>2.5826059609030126E-4</v>
      </c>
      <c r="I1430" s="1" cm="1">
        <f t="array" ref="I1430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SUMPRODUCT(("T_B_c-ICEnga-S2"=[1]OUT_TransportEnergyCons!$A$3:$A$1000)*1,("Var_Fin"=[1]OUT_TransportEnergyCons!$B$3:$B$1000)*1,ISNUMBER(SEARCH("nga",[1]OUT_TransportEnergyCons!$C$3:$C$1000))*1,[1]OUT_TransportEnergyCons!H$3:H$1000)</f>
        <v>6.8610105581162947E-6</v>
      </c>
      <c r="K1430" s="1" cm="1">
        <f t="array" ref="K1430">SUMPRODUCT(("T_B_c-ICEnga-S2"=[1]OUT_TransportEnergyCons!$A$3:$A$1000)*1,("Var_Fin"=[1]OUT_TransportEnergyCons!$B$3:$B$1000)*1,ISNUMBER(SEARCH("nga",[1]OUT_TransportEnergyCons!$C$3:$C$1000))*1,[1]OUT_TransportEnergyCons!I$3:I$1000)</f>
        <v>1.3320057220293737E-6</v>
      </c>
    </row>
    <row r="1431" spans="2:11" x14ac:dyDescent="0.35">
      <c r="B1431" s="5" t="str">
        <f t="shared" si="889"/>
        <v>SPS1</v>
      </c>
      <c r="C1431" s="5" t="str">
        <f t="shared" si="890"/>
        <v>CH</v>
      </c>
      <c r="D1431" t="s">
        <v>1427</v>
      </c>
      <c r="E1431" t="s">
        <v>8</v>
      </c>
      <c r="F1431" s="1" cm="1">
        <f t="array" ref="F1431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SUMPRODUCT(("T_B_c-ICEnga-S3"=[1]OUT_TransportEnergyCons!$A$3:$A$1000)*1,("Var_Fin"=[1]OUT_TransportEnergyCons!$B$3:$B$1000)*1,ISNUMBER(SEARCH("nga",[1]OUT_TransportEnergyCons!$C$3:$C$1000))*1,[1]OUT_TransportEnergyCons!E$3:E$1000)</f>
        <v>3.9859267084719181E-5</v>
      </c>
      <c r="H1431" s="1" cm="1">
        <f t="array" ref="H1431">SUMPRODUCT(("T_B_c-ICEnga-S3"=[1]OUT_TransportEnergyCons!$A$3:$A$1000)*1,("Var_Fin"=[1]OUT_TransportEnergyCons!$B$3:$B$1000)*1,ISNUMBER(SEARCH("nga",[1]OUT_TransportEnergyCons!$C$3:$C$1000))*1,[1]OUT_TransportEnergyCons!F$3:F$1000)</f>
        <v>1.6881896520184171E-4</v>
      </c>
      <c r="I1431" s="1" cm="1">
        <f t="array" ref="I1431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SUMPRODUCT(("T_B_c-ICEnga-S3"=[1]OUT_TransportEnergyCons!$A$3:$A$1000)*1,("Var_Fin"=[1]OUT_TransportEnergyCons!$B$3:$B$1000)*1,ISNUMBER(SEARCH("nga",[1]OUT_TransportEnergyCons!$C$3:$C$1000))*1,[1]OUT_TransportEnergyCons!H$3:H$1000)</f>
        <v>4.7156981097345803E-6</v>
      </c>
      <c r="K1431" s="1" cm="1">
        <f t="array" ref="K1431">SUMPRODUCT(("T_B_c-ICEnga-S3"=[1]OUT_TransportEnergyCons!$A$3:$A$1000)*1,("Var_Fin"=[1]OUT_TransportEnergyCons!$B$3:$B$1000)*1,ISNUMBER(SEARCH("nga",[1]OUT_TransportEnergyCons!$C$3:$C$1000))*1,[1]OUT_TransportEnergyCons!I$3:I$1000)</f>
        <v>0</v>
      </c>
    </row>
    <row r="1432" spans="2:11" x14ac:dyDescent="0.35">
      <c r="B1432" s="5" t="str">
        <f t="shared" si="889"/>
        <v>SPS1</v>
      </c>
      <c r="C1432" s="5" t="str">
        <f t="shared" si="890"/>
        <v>CH</v>
      </c>
      <c r="D1432" t="s">
        <v>1428</v>
      </c>
      <c r="E1432" t="s">
        <v>8</v>
      </c>
      <c r="F1432" s="1" cm="1">
        <f t="array" ref="F1432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2" s="1" cm="1">
        <f t="array" ref="H1432">SUMPRODUCT(("T_B_c-ICEnga-S4"=[1]OUT_TransportEnergyCons!$A$3:$A$1000)*1,("Var_Fin"=[1]OUT_TransportEnergyCons!$B$3:$B$1000)*1,ISNUMBER(SEARCH("nga",[1]OUT_TransportEnergyCons!$C$3:$C$1000))*1,[1]OUT_TransportEnergyCons!F$3:F$1000)</f>
        <v>3.6634566372947335E-6</v>
      </c>
      <c r="I1432" s="1" cm="1">
        <f t="array" ref="I1432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SUMPRODUCT(("T_B_c-ICEnga-S4"=[1]OUT_TransportEnergyCons!$A$3:$A$1000)*1,("Var_Fin"=[1]OUT_TransportEnergyCons!$B$3:$B$1000)*1,ISNUMBER(SEARCH("nga",[1]OUT_TransportEnergyCons!$C$3:$C$1000))*1,[1]OUT_TransportEnergyCons!I$3:I$1000)</f>
        <v>0</v>
      </c>
    </row>
    <row r="1433" spans="2:11" x14ac:dyDescent="0.35">
      <c r="B1433" s="5" t="str">
        <f>B1432</f>
        <v>SPS1</v>
      </c>
      <c r="C1433" s="5" t="str">
        <f>C1432</f>
        <v>CH</v>
      </c>
      <c r="D1433" s="2" t="s">
        <v>1393</v>
      </c>
      <c r="E1433" s="2" t="s">
        <v>1132</v>
      </c>
      <c r="F1433" s="3">
        <f>SUM(F1434:F1456)</f>
        <v>0.13097706776502205</v>
      </c>
      <c r="G1433" s="3">
        <f t="shared" ref="G1433" si="922">SUM(G1434:G1456)</f>
        <v>0.13164568754234779</v>
      </c>
      <c r="H1433" s="3">
        <f t="shared" ref="H1433" si="923">SUM(H1434:H1456)</f>
        <v>0.13268508204866458</v>
      </c>
      <c r="I1433" s="3">
        <f t="shared" ref="I1433" si="924">SUM(I1434:I1456)</f>
        <v>0.13440455507815047</v>
      </c>
      <c r="J1433" s="3">
        <f t="shared" ref="J1433" si="925">SUM(J1434:J1456)</f>
        <v>0.13472760312686352</v>
      </c>
      <c r="K1433" s="3">
        <f t="shared" ref="K1433" si="926">SUM(K1434:K1456)</f>
        <v>0.13114173809166527</v>
      </c>
    </row>
    <row r="1434" spans="2:11" x14ac:dyDescent="0.35">
      <c r="B1434" s="5" t="str">
        <f>B1433</f>
        <v>SPS1</v>
      </c>
      <c r="C1434" s="5" t="str">
        <f>C1433</f>
        <v>CH</v>
      </c>
      <c r="D1434" t="s">
        <v>1429</v>
      </c>
      <c r="E1434" t="str">
        <f>E1433</f>
        <v>billion km/yr.</v>
      </c>
      <c r="F1434" s="1" cm="1">
        <f t="array" ref="F1434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4" s="1" cm="1">
        <f t="array" ref="G1434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4" s="1" cm="1">
        <f t="array" ref="H1434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4" s="1" cm="1">
        <f t="array" ref="I1434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4" s="1" cm="1">
        <f t="array" ref="J1434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4" s="1" cm="1">
        <f t="array" ref="K1434">SUMPRODUCT(("T_B_c-BeVELCEXT"=[1]OUT_TransportEnergyCons!$A$3:$A$1000)*1,("var_fout"=[1]OUT_TransportEnergyCons!$B$3:$B$1000)*1,ISNUMBER(SEARCH("TPBSc",[1]OUT_TransportEnergyCons!$C$3:$C$1000))*1,[1]OUT_TransportEnergyCons!I$3:I$1000)</f>
        <v>0</v>
      </c>
    </row>
    <row r="1435" spans="2:11" x14ac:dyDescent="0.35">
      <c r="B1435" s="5" t="str">
        <f t="shared" ref="B1435:B1456" si="927">B1434</f>
        <v>SPS1</v>
      </c>
      <c r="C1435" s="5" t="str">
        <f t="shared" ref="C1435:C1456" si="928">C1434</f>
        <v>CH</v>
      </c>
      <c r="D1435" t="s">
        <v>1430</v>
      </c>
      <c r="E1435" t="str">
        <f t="shared" ref="E1435:E1456" si="929">E1434</f>
        <v>billion km/yr.</v>
      </c>
      <c r="F1435" s="1" cm="1">
        <f t="array" ref="F1435">SUMPRODUCT(("T_B_c-BEVELC-S1"=[1]OUT_TransportEnergyCons!$A$3:$A$1000)*1,("var_fout"=[1]OUT_TransportEnergyCons!$B$3:$B$1000)*1,ISNUMBER(SEARCH("TPBSc",[1]OUT_TransportEnergyCons!$C$3:$C$1000))*1,[1]OUT_TransportEnergyCons!D$3:D$1000)</f>
        <v>1.4142795804462317E-4</v>
      </c>
      <c r="G1435" s="1" cm="1">
        <f t="array" ref="G1435">SUMPRODUCT(("T_B_c-BEVELC-S1"=[1]OUT_TransportEnergyCons!$A$3:$A$1000)*1,("var_fout"=[1]OUT_TransportEnergyCons!$B$3:$B$1000)*1,ISNUMBER(SEARCH("TPBSc",[1]OUT_TransportEnergyCons!$C$3:$C$1000))*1,[1]OUT_TransportEnergyCons!E$3:E$1000)</f>
        <v>5.9287152669838003E-4</v>
      </c>
      <c r="H1435" s="1" cm="1">
        <f t="array" ref="H1435">SUMPRODUCT(("T_B_c-BEVELC-S1"=[1]OUT_TransportEnergyCons!$A$3:$A$1000)*1,("var_fout"=[1]OUT_TransportEnergyCons!$B$3:$B$1000)*1,ISNUMBER(SEARCH("TPBSc",[1]OUT_TransportEnergyCons!$C$3:$C$1000))*1,[1]OUT_TransportEnergyCons!F$3:F$1000)</f>
        <v>7.9559720198188509E-4</v>
      </c>
      <c r="I1435" s="1" cm="1">
        <f t="array" ref="I1435">SUMPRODUCT(("T_B_c-BEVELC-S1"=[1]OUT_TransportEnergyCons!$A$3:$A$1000)*1,("var_fout"=[1]OUT_TransportEnergyCons!$B$3:$B$1000)*1,ISNUMBER(SEARCH("TPBSc",[1]OUT_TransportEnergyCons!$C$3:$C$1000))*1,[1]OUT_TransportEnergyCons!G$3:G$1000)</f>
        <v>6.4723772327458004E-2</v>
      </c>
      <c r="J1435" s="1" cm="1">
        <f t="array" ref="J1435">SUMPRODUCT(("T_B_c-BEVELC-S1"=[1]OUT_TransportEnergyCons!$A$3:$A$1000)*1,("var_fout"=[1]OUT_TransportEnergyCons!$B$3:$B$1000)*1,ISNUMBER(SEARCH("TPBSc",[1]OUT_TransportEnergyCons!$C$3:$C$1000))*1,[1]OUT_TransportEnergyCons!H$3:H$1000)</f>
        <v>6.486413061885718E-2</v>
      </c>
      <c r="K1435" s="1" cm="1">
        <f t="array" ref="K1435">SUMPRODUCT(("T_B_c-BEVELC-S1"=[1]OUT_TransportEnergyCons!$A$3:$A$1000)*1,("var_fout"=[1]OUT_TransportEnergyCons!$B$3:$B$1000)*1,ISNUMBER(SEARCH("TPBSc",[1]OUT_TransportEnergyCons!$C$3:$C$1000))*1,[1]OUT_TransportEnergyCons!I$3:I$1000)</f>
        <v>6.3148445828673974E-2</v>
      </c>
    </row>
    <row r="1436" spans="2:11" x14ac:dyDescent="0.35">
      <c r="B1436" s="5" t="str">
        <f t="shared" si="927"/>
        <v>SPS1</v>
      </c>
      <c r="C1436" s="5" t="str">
        <f t="shared" si="928"/>
        <v>CH</v>
      </c>
      <c r="D1436" t="s">
        <v>1431</v>
      </c>
      <c r="E1436" t="str">
        <f t="shared" si="929"/>
        <v>billion km/yr.</v>
      </c>
      <c r="F1436" s="1" cm="1">
        <f t="array" ref="F1436">SUMPRODUCT(("T_B_c-BEVELC-S2"=[1]OUT_TransportEnergyCons!$A$3:$A$1000)*1,("var_fout"=[1]OUT_TransportEnergyCons!$B$3:$B$1000)*1,ISNUMBER(SEARCH("TPBSc",[1]OUT_TransportEnergyCons!$C$3:$C$1000))*1,[1]OUT_TransportEnergyCons!D$3:D$1000)</f>
        <v>1.6069747530089262E-4</v>
      </c>
      <c r="G1436" s="1" cm="1">
        <f t="array" ref="G1436">SUMPRODUCT(("T_B_c-BEVELC-S2"=[1]OUT_TransportEnergyCons!$A$3:$A$1000)*1,("var_fout"=[1]OUT_TransportEnergyCons!$B$3:$B$1000)*1,ISNUMBER(SEARCH("TPBSc",[1]OUT_TransportEnergyCons!$C$3:$C$1000))*1,[1]OUT_TransportEnergyCons!E$3:E$1000)</f>
        <v>2.0645216281842024E-4</v>
      </c>
      <c r="H1436" s="1" cm="1">
        <f t="array" ref="H1436">SUMPRODUCT(("T_B_c-BEVELC-S2"=[1]OUT_TransportEnergyCons!$A$3:$A$1000)*1,("var_fout"=[1]OUT_TransportEnergyCons!$B$3:$B$1000)*1,ISNUMBER(SEARCH("TPBSc",[1]OUT_TransportEnergyCons!$C$3:$C$1000))*1,[1]OUT_TransportEnergyCons!F$3:F$1000)</f>
        <v>2.4525070170003475E-4</v>
      </c>
      <c r="I1436" s="1" cm="1">
        <f t="array" ref="I1436">SUMPRODUCT(("T_B_c-BEVELC-S2"=[1]OUT_TransportEnergyCons!$A$3:$A$1000)*1,("var_fout"=[1]OUT_TransportEnergyCons!$B$3:$B$1000)*1,ISNUMBER(SEARCH("TPBSc",[1]OUT_TransportEnergyCons!$C$3:$C$1000))*1,[1]OUT_TransportEnergyCons!G$3:G$1000)</f>
        <v>5.7405215914760666E-2</v>
      </c>
      <c r="J1436" s="1" cm="1">
        <f t="array" ref="J1436">SUMPRODUCT(("T_B_c-BEVELC-S2"=[1]OUT_TransportEnergyCons!$A$3:$A$1000)*1,("var_fout"=[1]OUT_TransportEnergyCons!$B$3:$B$1000)*1,ISNUMBER(SEARCH("TPBSc",[1]OUT_TransportEnergyCons!$C$3:$C$1000))*1,[1]OUT_TransportEnergyCons!H$3:H$1000)</f>
        <v>5.7536049385820652E-2</v>
      </c>
      <c r="K1436" s="1" cm="1">
        <f t="array" ref="K1436">SUMPRODUCT(("T_B_c-BEVELC-S2"=[1]OUT_TransportEnergyCons!$A$3:$A$1000)*1,("var_fout"=[1]OUT_TransportEnergyCons!$B$3:$B$1000)*1,ISNUMBER(SEARCH("TPBSc",[1]OUT_TransportEnergyCons!$C$3:$C$1000))*1,[1]OUT_TransportEnergyCons!I$3:I$1000)</f>
        <v>5.6007730571140356E-2</v>
      </c>
    </row>
    <row r="1437" spans="2:11" x14ac:dyDescent="0.35">
      <c r="B1437" s="5" t="str">
        <f t="shared" si="927"/>
        <v>SPS1</v>
      </c>
      <c r="C1437" s="5" t="str">
        <f t="shared" si="928"/>
        <v>CH</v>
      </c>
      <c r="D1437" t="s">
        <v>1432</v>
      </c>
      <c r="E1437" t="str">
        <f t="shared" si="929"/>
        <v>billion km/yr.</v>
      </c>
      <c r="F1437" s="1" cm="1">
        <f t="array" ref="F1437">SUMPRODUCT(("T_B_c-BEVELC-S3"=[1]OUT_TransportEnergyCons!$A$3:$A$1000)*1,("var_fout"=[1]OUT_TransportEnergyCons!$B$3:$B$1000)*1,ISNUMBER(SEARCH("TPBSc",[1]OUT_TransportEnergyCons!$C$3:$C$1000))*1,[1]OUT_TransportEnergyCons!D$3:D$1000)</f>
        <v>3.5418604232967777E-5</v>
      </c>
      <c r="G1437" s="1" cm="1">
        <f t="array" ref="G1437">SUMPRODUCT(("T_B_c-BEVELC-S3"=[1]OUT_TransportEnergyCons!$A$3:$A$1000)*1,("var_fout"=[1]OUT_TransportEnergyCons!$B$3:$B$1000)*1,ISNUMBER(SEARCH("TPBSc",[1]OUT_TransportEnergyCons!$C$3:$C$1000))*1,[1]OUT_TransportEnergyCons!E$3:E$1000)</f>
        <v>4.6031289432258624E-5</v>
      </c>
      <c r="H1437" s="1" cm="1">
        <f t="array" ref="H1437">SUMPRODUCT(("T_B_c-BEVELC-S3"=[1]OUT_TransportEnergyCons!$A$3:$A$1000)*1,("var_fout"=[1]OUT_TransportEnergyCons!$B$3:$B$1000)*1,ISNUMBER(SEARCH("TPBSc",[1]OUT_TransportEnergyCons!$C$3:$C$1000))*1,[1]OUT_TransportEnergyCons!F$3:F$1000)</f>
        <v>5.7955050953582035E-5</v>
      </c>
      <c r="I1437" s="1" cm="1">
        <f t="array" ref="I1437">SUMPRODUCT(("T_B_c-BEVELC-S3"=[1]OUT_TransportEnergyCons!$A$3:$A$1000)*1,("var_fout"=[1]OUT_TransportEnergyCons!$B$3:$B$1000)*1,ISNUMBER(SEARCH("TPBSc",[1]OUT_TransportEnergyCons!$C$3:$C$1000))*1,[1]OUT_TransportEnergyCons!G$3:G$1000)</f>
        <v>1.2271440667605908E-2</v>
      </c>
      <c r="J1437" s="1" cm="1">
        <f t="array" ref="J1437">SUMPRODUCT(("T_B_c-BEVELC-S3"=[1]OUT_TransportEnergyCons!$A$3:$A$1000)*1,("var_fout"=[1]OUT_TransportEnergyCons!$B$3:$B$1000)*1,ISNUMBER(SEARCH("TPBSc",[1]OUT_TransportEnergyCons!$C$3:$C$1000))*1,[1]OUT_TransportEnergyCons!H$3:H$1000)</f>
        <v>1.2304442040593451E-2</v>
      </c>
      <c r="K1437" s="1" cm="1">
        <f t="array" ref="K1437">SUMPRODUCT(("T_B_c-BEVELC-S3"=[1]OUT_TransportEnergyCons!$A$3:$A$1000)*1,("var_fout"=[1]OUT_TransportEnergyCons!$B$3:$B$1000)*1,ISNUMBER(SEARCH("TPBSc",[1]OUT_TransportEnergyCons!$C$3:$C$1000))*1,[1]OUT_TransportEnergyCons!I$3:I$1000)</f>
        <v>1.1978838296042267E-2</v>
      </c>
    </row>
    <row r="1438" spans="2:11" x14ac:dyDescent="0.35">
      <c r="B1438" s="5" t="str">
        <f t="shared" si="927"/>
        <v>SPS1</v>
      </c>
      <c r="C1438" s="5" t="str">
        <f t="shared" si="928"/>
        <v>CH</v>
      </c>
      <c r="D1438" t="s">
        <v>1433</v>
      </c>
      <c r="E1438" t="str">
        <f t="shared" si="929"/>
        <v>billion km/yr.</v>
      </c>
      <c r="F1438" s="1" cm="1">
        <f t="array" ref="F1438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38" s="1" cm="1">
        <f t="array" ref="G1438">SUMPRODUCT(("T_B_c-BEVELC-S4"=[1]OUT_TransportEnergyCons!$A$3:$A$1000)*1,("var_fout"=[1]OUT_TransportEnergyCons!$B$3:$B$1000)*1,ISNUMBER(SEARCH("TPBSc",[1]OUT_TransportEnergyCons!$C$3:$C$1000))*1,[1]OUT_TransportEnergyCons!E$3:E$1000)</f>
        <v>3.3327076103716757E-6</v>
      </c>
      <c r="H1438" s="1" cm="1">
        <f t="array" ref="H1438">SUMPRODUCT(("T_B_c-BEVELC-S4"=[1]OUT_TransportEnergyCons!$A$3:$A$1000)*1,("var_fout"=[1]OUT_TransportEnergyCons!$B$3:$B$1000)*1,ISNUMBER(SEARCH("TPBSc",[1]OUT_TransportEnergyCons!$C$3:$C$1000))*1,[1]OUT_TransportEnergyCons!F$3:F$1000)</f>
        <v>4.3289661111714996E-6</v>
      </c>
      <c r="I1438" s="1" cm="1">
        <f t="array" ref="I1438">SUMPRODUCT(("T_B_c-BEVELC-S4"=[1]OUT_TransportEnergyCons!$A$3:$A$1000)*1,("var_fout"=[1]OUT_TransportEnergyCons!$B$3:$B$1000)*1,ISNUMBER(SEARCH("TPBSc",[1]OUT_TransportEnergyCons!$C$3:$C$1000))*1,[1]OUT_TransportEnergyCons!G$3:G$1000)</f>
        <v>1.7754853888003908E-6</v>
      </c>
      <c r="J1438" s="1" cm="1">
        <f t="array" ref="J1438">SUMPRODUCT(("T_B_c-BEVELC-S4"=[1]OUT_TransportEnergyCons!$A$3:$A$1000)*1,("var_fout"=[1]OUT_TransportEnergyCons!$B$3:$B$1000)*1,ISNUMBER(SEARCH("TPBSc",[1]OUT_TransportEnergyCons!$C$3:$C$1000))*1,[1]OUT_TransportEnergyCons!H$3:H$1000)</f>
        <v>1.2046677458732424E-5</v>
      </c>
      <c r="K1438" s="1" cm="1">
        <f t="array" ref="K1438">SUMPRODUCT(("T_B_c-BEVELC-S4"=[1]OUT_TransportEnergyCons!$A$3:$A$1000)*1,("var_fout"=[1]OUT_TransportEnergyCons!$B$3:$B$1000)*1,ISNUMBER(SEARCH("TPBSc",[1]OUT_TransportEnergyCons!$C$3:$C$1000))*1,[1]OUT_TransportEnergyCons!I$3:I$1000)</f>
        <v>3.5301493987498784E-6</v>
      </c>
    </row>
    <row r="1439" spans="2:11" x14ac:dyDescent="0.35">
      <c r="B1439" s="5" t="str">
        <f t="shared" si="927"/>
        <v>SPS1</v>
      </c>
      <c r="C1439" s="5" t="str">
        <f t="shared" si="928"/>
        <v>CH</v>
      </c>
      <c r="D1439" t="s">
        <v>1434</v>
      </c>
      <c r="E1439" t="str">
        <f t="shared" si="929"/>
        <v>billion km/yr.</v>
      </c>
      <c r="F1439" s="1" cm="1">
        <f t="array" ref="F1439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39" s="1" cm="1">
        <f t="array" ref="G1439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39" s="1" cm="1">
        <f t="array" ref="H1439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39" s="1" cm="1">
        <f t="array" ref="I1439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39" s="1" cm="1">
        <f t="array" ref="J1439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39" s="1" cm="1">
        <f t="array" ref="K1439">SUMPRODUCT(("T_B_c-FCLH2O-S1"=[1]OUT_TransportEnergyCons!$A$3:$A$1000)*1,("var_fout"=[1]OUT_TransportEnergyCons!$B$3:$B$1000)*1,ISNUMBER(SEARCH("TPBSc",[1]OUT_TransportEnergyCons!$C$3:$C$1000))*1,[1]OUT_TransportEnergyCons!I$3:I$1000)</f>
        <v>0</v>
      </c>
    </row>
    <row r="1440" spans="2:11" x14ac:dyDescent="0.35">
      <c r="B1440" s="5" t="str">
        <f t="shared" si="927"/>
        <v>SPS1</v>
      </c>
      <c r="C1440" s="5" t="str">
        <f t="shared" si="928"/>
        <v>CH</v>
      </c>
      <c r="D1440" t="s">
        <v>1435</v>
      </c>
      <c r="E1440" t="str">
        <f t="shared" si="929"/>
        <v>billion km/yr.</v>
      </c>
      <c r="F1440" s="1" cm="1">
        <f t="array" ref="F1440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0" s="1" cm="1">
        <f t="array" ref="H1440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0" s="1" cm="1">
        <f t="array" ref="I1440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0" s="1" cm="1">
        <f t="array" ref="J1440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0" s="1" cm="1">
        <f t="array" ref="K1440">SUMPRODUCT(("T_B_c-FCLH2O-S2"=[1]OUT_TransportEnergyCons!$A$3:$A$1000)*1,("var_fout"=[1]OUT_TransportEnergyCons!$B$3:$B$1000)*1,ISNUMBER(SEARCH("TPBSc",[1]OUT_TransportEnergyCons!$C$3:$C$1000))*1,[1]OUT_TransportEnergyCons!I$3:I$1000)</f>
        <v>0</v>
      </c>
    </row>
    <row r="1441" spans="2:11" x14ac:dyDescent="0.35">
      <c r="B1441" s="5" t="str">
        <f t="shared" si="927"/>
        <v>SPS1</v>
      </c>
      <c r="C1441" s="5" t="str">
        <f t="shared" si="928"/>
        <v>CH</v>
      </c>
      <c r="D1441" t="s">
        <v>1436</v>
      </c>
      <c r="E1441" t="str">
        <f t="shared" si="929"/>
        <v>billion km/yr.</v>
      </c>
      <c r="F1441" s="1" cm="1">
        <f t="array" ref="F1441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SUMPRODUCT(("T_B_c-FCLH2O-S3"=[1]OUT_TransportEnergyCons!$A$3:$A$1000)*1,("var_fout"=[1]OUT_TransportEnergyCons!$B$3:$B$1000)*1,ISNUMBER(SEARCH("TPBSc",[1]OUT_TransportEnergyCons!$C$3:$C$1000))*1,[1]OUT_TransportEnergyCons!G$3:G$1000)</f>
        <v>8.4354822087212308E-7</v>
      </c>
      <c r="J1441" s="1" cm="1">
        <f t="array" ref="J1441">SUMPRODUCT(("T_B_c-FCLH2O-S3"=[1]OUT_TransportEnergyCons!$A$3:$A$1000)*1,("var_fout"=[1]OUT_TransportEnergyCons!$B$3:$B$1000)*1,ISNUMBER(SEARCH("TPBSc",[1]OUT_TransportEnergyCons!$C$3:$C$1000))*1,[1]OUT_TransportEnergyCons!H$3:H$1000)</f>
        <v>9.638100058296829E-8</v>
      </c>
      <c r="K1441" s="1" cm="1">
        <f t="array" ref="K1441">SUMPRODUCT(("T_B_c-FCLH2O-S3"=[1]OUT_TransportEnergyCons!$A$3:$A$1000)*1,("var_fout"=[1]OUT_TransportEnergyCons!$B$3:$B$1000)*1,ISNUMBER(SEARCH("TPBSc",[1]OUT_TransportEnergyCons!$C$3:$C$1000))*1,[1]OUT_TransportEnergyCons!I$3:I$1000)</f>
        <v>0</v>
      </c>
    </row>
    <row r="1442" spans="2:11" x14ac:dyDescent="0.35">
      <c r="B1442" s="5" t="str">
        <f t="shared" si="927"/>
        <v>SPS1</v>
      </c>
      <c r="C1442" s="5" t="str">
        <f t="shared" si="928"/>
        <v>CH</v>
      </c>
      <c r="D1442" t="s">
        <v>1437</v>
      </c>
      <c r="E1442" t="str">
        <f t="shared" si="929"/>
        <v>billion km/yr.</v>
      </c>
      <c r="F1442" s="1" cm="1">
        <f t="array" ref="F1442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SUMPRODUCT(("T_B_c-FCLH2O-S4"=[1]OUT_TransportEnergyCons!$A$3:$A$1000)*1,("var_fout"=[1]OUT_TransportEnergyCons!$B$3:$B$1000)*1,ISNUMBER(SEARCH("TPBSc",[1]OUT_TransportEnergyCons!$C$3:$C$1000))*1,[1]OUT_TransportEnergyCons!I$3:I$1000)</f>
        <v>0</v>
      </c>
    </row>
    <row r="1443" spans="2:11" x14ac:dyDescent="0.35">
      <c r="B1443" s="5" t="str">
        <f t="shared" si="927"/>
        <v>SPS1</v>
      </c>
      <c r="C1443" s="5" t="str">
        <f t="shared" si="928"/>
        <v>CH</v>
      </c>
      <c r="D1443" t="s">
        <v>1438</v>
      </c>
      <c r="E1443" t="str">
        <f t="shared" si="929"/>
        <v>billion km/yr.</v>
      </c>
      <c r="F1443" s="1" cm="1">
        <f t="array" ref="F1443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SUMPRODUCT(("T_B_c-HYBDSL-S1"=[1]OUT_TransportEnergyCons!$A$3:$A$1000)*1,("var_fout"=[1]OUT_TransportEnergyCons!$B$3:$B$1000)*1,ISNUMBER(SEARCH("TPBSc",[1]OUT_TransportEnergyCons!$C$3:$C$1000))*1,[1]OUT_TransportEnergyCons!E$3:E$1000)</f>
        <v>1.8758239221620764E-4</v>
      </c>
      <c r="H1443" s="1" cm="1">
        <f t="array" ref="H1443">SUMPRODUCT(("T_B_c-HYBDSL-S1"=[1]OUT_TransportEnergyCons!$A$3:$A$1000)*1,("var_fout"=[1]OUT_TransportEnergyCons!$B$3:$B$1000)*1,ISNUMBER(SEARCH("TPBSc",[1]OUT_TransportEnergyCons!$C$3:$C$1000))*1,[1]OUT_TransportEnergyCons!F$3:F$1000)</f>
        <v>2.181401398049835E-4</v>
      </c>
      <c r="I1443" s="1" cm="1">
        <f t="array" ref="I1443">SUMPRODUCT(("T_B_c-HYBDSL-S1"=[1]OUT_TransportEnergyCons!$A$3:$A$1000)*1,("var_fout"=[1]OUT_TransportEnergyCons!$B$3:$B$1000)*1,ISNUMBER(SEARCH("TPBSc",[1]OUT_TransportEnergyCons!$C$3:$C$1000))*1,[1]OUT_TransportEnergyCons!G$3:G$1000)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SUMPRODUCT(("T_B_c-HYBDSL-S1"=[1]OUT_TransportEnergyCons!$A$3:$A$1000)*1,("var_fout"=[1]OUT_TransportEnergyCons!$B$3:$B$1000)*1,ISNUMBER(SEARCH("TPBSc",[1]OUT_TransportEnergyCons!$C$3:$C$1000))*1,[1]OUT_TransportEnergyCons!H$3:H$1000)</f>
        <v>2.4126692556787874E-6</v>
      </c>
      <c r="K1443" s="1" cm="1">
        <f t="array" ref="K1443">SUMPRODUCT(("T_B_c-HYBDSL-S1"=[1]OUT_TransportEnergyCons!$A$3:$A$1000)*1,("var_fout"=[1]OUT_TransportEnergyCons!$B$3:$B$1000)*1,ISNUMBER(SEARCH("TPBSc",[1]OUT_TransportEnergyCons!$C$3:$C$1000))*1,[1]OUT_TransportEnergyCons!I$3:I$1000)</f>
        <v>7.8185506075508923E-7</v>
      </c>
    </row>
    <row r="1444" spans="2:11" x14ac:dyDescent="0.35">
      <c r="B1444" s="5" t="str">
        <f t="shared" si="927"/>
        <v>SPS1</v>
      </c>
      <c r="C1444" s="5" t="str">
        <f t="shared" si="928"/>
        <v>CH</v>
      </c>
      <c r="D1444" t="s">
        <v>1439</v>
      </c>
      <c r="E1444" t="str">
        <f t="shared" si="929"/>
        <v>billion km/yr.</v>
      </c>
      <c r="F1444" s="1" cm="1">
        <f t="array" ref="F1444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SUMPRODUCT(("T_B_c-HYBDSL-S2"=[1]OUT_TransportEnergyCons!$A$3:$A$1000)*1,("var_fout"=[1]OUT_TransportEnergyCons!$B$3:$B$1000)*1,ISNUMBER(SEARCH("TPBSc",[1]OUT_TransportEnergyCons!$C$3:$C$1000))*1,[1]OUT_TransportEnergyCons!E$3:E$1000)</f>
        <v>1.203511988456762E-5</v>
      </c>
      <c r="H1444" s="1" cm="1">
        <f t="array" ref="H1444">SUMPRODUCT(("T_B_c-HYBDSL-S2"=[1]OUT_TransportEnergyCons!$A$3:$A$1000)*1,("var_fout"=[1]OUT_TransportEnergyCons!$B$3:$B$1000)*1,ISNUMBER(SEARCH("TPBSc",[1]OUT_TransportEnergyCons!$C$3:$C$1000))*1,[1]OUT_TransportEnergyCons!F$3:F$1000)</f>
        <v>2.2740367922144346E-5</v>
      </c>
      <c r="I1444" s="1" cm="1">
        <f t="array" ref="I1444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SUMPRODUCT(("T_B_c-HYBDSL-S2"=[1]OUT_TransportEnergyCons!$A$3:$A$1000)*1,("var_fout"=[1]OUT_TransportEnergyCons!$B$3:$B$1000)*1,ISNUMBER(SEARCH("TPBSc",[1]OUT_TransportEnergyCons!$C$3:$C$1000))*1,[1]OUT_TransportEnergyCons!H$3:H$1000)</f>
        <v>2.9289986200686426E-6</v>
      </c>
      <c r="K1444" s="1" cm="1">
        <f t="array" ref="K1444">SUMPRODUCT(("T_B_c-HYBDSL-S2"=[1]OUT_TransportEnergyCons!$A$3:$A$1000)*1,("var_fout"=[1]OUT_TransportEnergyCons!$B$3:$B$1000)*1,ISNUMBER(SEARCH("TPBSc",[1]OUT_TransportEnergyCons!$C$3:$C$1000))*1,[1]OUT_TransportEnergyCons!I$3:I$1000)</f>
        <v>9.8615467535752053E-7</v>
      </c>
    </row>
    <row r="1445" spans="2:11" x14ac:dyDescent="0.35">
      <c r="B1445" s="5" t="str">
        <f t="shared" si="927"/>
        <v>SPS1</v>
      </c>
      <c r="C1445" s="5" t="str">
        <f t="shared" si="928"/>
        <v>CH</v>
      </c>
      <c r="D1445" t="s">
        <v>1440</v>
      </c>
      <c r="E1445" t="str">
        <f t="shared" si="929"/>
        <v>billion km/yr.</v>
      </c>
      <c r="F1445" s="1" cm="1">
        <f t="array" ref="F1445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SUMPRODUCT(("T_B_c-HYBDSL-S3"=[1]OUT_TransportEnergyCons!$A$3:$A$1000)*1,("var_fout"=[1]OUT_TransportEnergyCons!$B$3:$B$1000)*1,ISNUMBER(SEARCH("TPBSc",[1]OUT_TransportEnergyCons!$C$3:$C$1000))*1,[1]OUT_TransportEnergyCons!E$3:E$1000)</f>
        <v>4.8065156298930365E-6</v>
      </c>
      <c r="H1445" s="1" cm="1">
        <f t="array" ref="H1445">SUMPRODUCT(("T_B_c-HYBDSL-S3"=[1]OUT_TransportEnergyCons!$A$3:$A$1000)*1,("var_fout"=[1]OUT_TransportEnergyCons!$B$3:$B$1000)*1,ISNUMBER(SEARCH("TPBSc",[1]OUT_TransportEnergyCons!$C$3:$C$1000))*1,[1]OUT_TransportEnergyCons!F$3:F$1000)</f>
        <v>8.5762984463899994E-6</v>
      </c>
      <c r="I1445" s="1" cm="1">
        <f t="array" ref="I1445">SUMPRODUCT(("T_B_c-HYBDSL-S3"=[1]OUT_TransportEnergyCons!$A$3:$A$1000)*1,("var_fout"=[1]OUT_TransportEnergyCons!$B$3:$B$1000)*1,ISNUMBER(SEARCH("TPBSc",[1]OUT_TransportEnergyCons!$C$3:$C$1000))*1,[1]OUT_TransportEnergyCons!G$3:G$1000)</f>
        <v>1.5071347162296667E-6</v>
      </c>
      <c r="J1445" s="1" cm="1">
        <f t="array" ref="J1445">SUMPRODUCT(("T_B_c-HYBDSL-S3"=[1]OUT_TransportEnergyCons!$A$3:$A$1000)*1,("var_fout"=[1]OUT_TransportEnergyCons!$B$3:$B$1000)*1,ISNUMBER(SEARCH("TPBSc",[1]OUT_TransportEnergyCons!$C$3:$C$1000))*1,[1]OUT_TransportEnergyCons!H$3:H$1000)</f>
        <v>0</v>
      </c>
      <c r="K1445" s="1" cm="1">
        <f t="array" ref="K1445">SUMPRODUCT(("T_B_c-HYBDSL-S3"=[1]OUT_TransportEnergyCons!$A$3:$A$1000)*1,("var_fout"=[1]OUT_TransportEnergyCons!$B$3:$B$1000)*1,ISNUMBER(SEARCH("TPBSc",[1]OUT_TransportEnergyCons!$C$3:$C$1000))*1,[1]OUT_TransportEnergyCons!I$3:I$1000)</f>
        <v>0</v>
      </c>
    </row>
    <row r="1446" spans="2:11" x14ac:dyDescent="0.35">
      <c r="B1446" s="5" t="str">
        <f t="shared" si="927"/>
        <v>SPS1</v>
      </c>
      <c r="C1446" s="5" t="str">
        <f t="shared" si="928"/>
        <v>CH</v>
      </c>
      <c r="D1446" t="s">
        <v>1441</v>
      </c>
      <c r="E1446" t="str">
        <f t="shared" si="929"/>
        <v>billion km/yr.</v>
      </c>
      <c r="F1446" s="1" cm="1">
        <f t="array" ref="F1446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SUMPRODUCT(("T_B_c-HYBDSL-S4"=[1]OUT_TransportEnergyCons!$A$3:$A$1000)*1,("var_fout"=[1]OUT_TransportEnergyCons!$B$3:$B$1000)*1,ISNUMBER(SEARCH("TPBSc",[1]OUT_TransportEnergyCons!$C$3:$C$1000))*1,[1]OUT_TransportEnergyCons!E$3:E$1000)</f>
        <v>1.388123189482252E-7</v>
      </c>
      <c r="H1446" s="1" cm="1">
        <f t="array" ref="H1446">SUMPRODUCT(("T_B_c-HYBDSL-S4"=[1]OUT_TransportEnergyCons!$A$3:$A$1000)*1,("var_fout"=[1]OUT_TransportEnergyCons!$B$3:$B$1000)*1,ISNUMBER(SEARCH("TPBSc",[1]OUT_TransportEnergyCons!$C$3:$C$1000))*1,[1]OUT_TransportEnergyCons!F$3:F$1000)</f>
        <v>2.0443460382818549E-7</v>
      </c>
      <c r="I1446" s="1" cm="1">
        <f t="array" ref="I1446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SUMPRODUCT(("T_B_c-HYBDSL-S4"=[1]OUT_TransportEnergyCons!$A$3:$A$1000)*1,("var_fout"=[1]OUT_TransportEnergyCons!$B$3:$B$1000)*1,ISNUMBER(SEARCH("TPBSc",[1]OUT_TransportEnergyCons!$C$3:$C$1000))*1,[1]OUT_TransportEnergyCons!H$3:H$1000)</f>
        <v>0</v>
      </c>
      <c r="K1446" s="1" cm="1">
        <f t="array" ref="K1446">SUMPRODUCT(("T_B_c-HYBDSL-S4"=[1]OUT_TransportEnergyCons!$A$3:$A$1000)*1,("var_fout"=[1]OUT_TransportEnergyCons!$B$3:$B$1000)*1,ISNUMBER(SEARCH("TPBSc",[1]OUT_TransportEnergyCons!$C$3:$C$1000))*1,[1]OUT_TransportEnergyCons!I$3:I$1000)</f>
        <v>0</v>
      </c>
    </row>
    <row r="1447" spans="2:11" x14ac:dyDescent="0.35">
      <c r="B1447" s="5" t="str">
        <f t="shared" si="927"/>
        <v>SPS1</v>
      </c>
      <c r="C1447" s="5" t="str">
        <f t="shared" si="928"/>
        <v>CH</v>
      </c>
      <c r="D1447" t="s">
        <v>2117</v>
      </c>
      <c r="E1447" t="str">
        <f t="shared" si="929"/>
        <v>billion km/yr.</v>
      </c>
      <c r="F1447" s="1" cm="1">
        <f t="array" ref="F1447">SUMPRODUCT(("T_B_c-ICEDSLEXT"=[1]OUT_TransportEnergyCons!$A$3:$A$1000)*1,("var_fout"=[1]OUT_TransportEnergyCons!$B$3:$B$1000)*1,ISNUMBER(SEARCH("TPBSc",[1]OUT_TransportEnergyCons!$C$3:$C$1000))*1,[1]OUT_TransportEnergyCons!D$3:D$1000)</f>
        <v>5.9980505180332815E-2</v>
      </c>
      <c r="G1447" s="1" cm="1">
        <f t="array" ref="G1447">SUMPRODUCT(("T_B_c-ICEDSLEXT"=[1]OUT_TransportEnergyCons!$A$3:$A$1000)*1,("var_fout"=[1]OUT_TransportEnergyCons!$B$3:$B$1000)*1,ISNUMBER(SEARCH("TPBSc",[1]OUT_TransportEnergyCons!$C$3:$C$1000))*1,[1]OUT_TransportEnergyCons!E$3:E$1000)</f>
        <v>4.7988199835346877E-2</v>
      </c>
      <c r="H1447" s="1" cm="1">
        <f t="array" ref="H1447">SUMPRODUCT(("T_B_c-ICEDSLEXT"=[1]OUT_TransportEnergyCons!$A$3:$A$1000)*1,("var_fout"=[1]OUT_TransportEnergyCons!$B$3:$B$1000)*1,ISNUMBER(SEARCH("TPBSc",[1]OUT_TransportEnergyCons!$C$3:$C$1000))*1,[1]OUT_TransportEnergyCons!F$3:F$1000)</f>
        <v>2.999268006209363E-2</v>
      </c>
      <c r="I1447" s="1" cm="1">
        <f t="array" ref="I1447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7" s="1" cm="1">
        <f t="array" ref="J1447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7" s="1" cm="1">
        <f t="array" ref="K1447">SUMPRODUCT(("T_B_c-ICEDSLEXT"=[1]OUT_TransportEnergyCons!$A$3:$A$1000)*1,("var_fout"=[1]OUT_TransportEnergyCons!$B$3:$B$1000)*1,ISNUMBER(SEARCH("TPBSc",[1]OUT_TransportEnergyCons!$C$3:$C$1000))*1,[1]OUT_TransportEnergyCons!I$3:I$1000)</f>
        <v>0</v>
      </c>
    </row>
    <row r="1448" spans="2:11" x14ac:dyDescent="0.35">
      <c r="B1448" s="5" t="str">
        <f t="shared" si="927"/>
        <v>SPS1</v>
      </c>
      <c r="C1448" s="5" t="str">
        <f t="shared" si="928"/>
        <v>CH</v>
      </c>
      <c r="D1448" t="s">
        <v>1442</v>
      </c>
      <c r="E1448" t="str">
        <f t="shared" si="929"/>
        <v>billion km/yr.</v>
      </c>
      <c r="F1448" s="1" cm="1">
        <f t="array" ref="F1448">SUMPRODUCT(("T_B_c-ICEDSL-S1"=[1]OUT_TransportEnergyCons!$A$3:$A$1000)*1,("var_fout"=[1]OUT_TransportEnergyCons!$B$3:$B$1000)*1,ISNUMBER(SEARCH("TPBSc",[1]OUT_TransportEnergyCons!$C$3:$C$1000))*1,[1]OUT_TransportEnergyCons!D$3:D$1000)</f>
        <v>1.4064555825094834E-2</v>
      </c>
      <c r="G1448" s="1" cm="1">
        <f t="array" ref="G1448">SUMPRODUCT(("T_B_c-ICEDSL-S1"=[1]OUT_TransportEnergyCons!$A$3:$A$1000)*1,("var_fout"=[1]OUT_TransportEnergyCons!$B$3:$B$1000)*1,ISNUMBER(SEARCH("TPBSc",[1]OUT_TransportEnergyCons!$C$3:$C$1000))*1,[1]OUT_TransportEnergyCons!E$3:E$1000)</f>
        <v>3.8951760633843813E-2</v>
      </c>
      <c r="H1448" s="1" cm="1">
        <f t="array" ref="H1448">SUMPRODUCT(("T_B_c-ICEDSL-S1"=[1]OUT_TransportEnergyCons!$A$3:$A$1000)*1,("var_fout"=[1]OUT_TransportEnergyCons!$B$3:$B$1000)*1,ISNUMBER(SEARCH("TPBSc",[1]OUT_TransportEnergyCons!$C$3:$C$1000))*1,[1]OUT_TransportEnergyCons!F$3:F$1000)</f>
        <v>4.8051113012297912E-2</v>
      </c>
      <c r="I1448" s="1" cm="1">
        <f t="array" ref="I1448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SUMPRODUCT(("T_B_c-ICEDSL-S1"=[1]OUT_TransportEnergyCons!$A$3:$A$1000)*1,("var_fout"=[1]OUT_TransportEnergyCons!$B$3:$B$1000)*1,ISNUMBER(SEARCH("TPBSc",[1]OUT_TransportEnergyCons!$C$3:$C$1000))*1,[1]OUT_TransportEnergyCons!H$3:H$1000)</f>
        <v>1.8641863662984232E-6</v>
      </c>
      <c r="K1448" s="1" cm="1">
        <f t="array" ref="K1448">SUMPRODUCT(("T_B_c-ICEDSL-S1"=[1]OUT_TransportEnergyCons!$A$3:$A$1000)*1,("var_fout"=[1]OUT_TransportEnergyCons!$B$3:$B$1000)*1,ISNUMBER(SEARCH("TPBSc",[1]OUT_TransportEnergyCons!$C$3:$C$1000))*1,[1]OUT_TransportEnergyCons!I$3:I$1000)</f>
        <v>5.7564078767568049E-7</v>
      </c>
    </row>
    <row r="1449" spans="2:11" x14ac:dyDescent="0.35">
      <c r="B1449" s="5" t="str">
        <f t="shared" si="927"/>
        <v>SPS1</v>
      </c>
      <c r="C1449" s="5" t="str">
        <f t="shared" si="928"/>
        <v>CH</v>
      </c>
      <c r="D1449" t="s">
        <v>1443</v>
      </c>
      <c r="E1449" t="str">
        <f t="shared" si="929"/>
        <v>billion km/yr.</v>
      </c>
      <c r="F1449" s="1" cm="1">
        <f t="array" ref="F1449">SUMPRODUCT(("T_B_c-ICEDSL-S2"=[1]OUT_TransportEnergyCons!$A$3:$A$1000)*1,("var_fout"=[1]OUT_TransportEnergyCons!$B$3:$B$1000)*1,ISNUMBER(SEARCH("TPBSc",[1]OUT_TransportEnergyCons!$C$3:$C$1000))*1,[1]OUT_TransportEnergyCons!D$3:D$1000)</f>
        <v>4.5444777957953923E-2</v>
      </c>
      <c r="G1449" s="1" cm="1">
        <f t="array" ref="G1449">SUMPRODUCT(("T_B_c-ICEDSL-S2"=[1]OUT_TransportEnergyCons!$A$3:$A$1000)*1,("var_fout"=[1]OUT_TransportEnergyCons!$B$3:$B$1000)*1,ISNUMBER(SEARCH("TPBSc",[1]OUT_TransportEnergyCons!$C$3:$C$1000))*1,[1]OUT_TransportEnergyCons!E$3:E$1000)</f>
        <v>3.5037044149430686E-2</v>
      </c>
      <c r="H1449" s="1" cm="1">
        <f t="array" ref="H1449">SUMPRODUCT(("T_B_c-ICEDSL-S2"=[1]OUT_TransportEnergyCons!$A$3:$A$1000)*1,("var_fout"=[1]OUT_TransportEnergyCons!$B$3:$B$1000)*1,ISNUMBER(SEARCH("TPBSc",[1]OUT_TransportEnergyCons!$C$3:$C$1000))*1,[1]OUT_TransportEnergyCons!F$3:F$1000)</f>
        <v>4.32788496285368E-2</v>
      </c>
      <c r="I1449" s="1" cm="1">
        <f t="array" ref="I1449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SUMPRODUCT(("T_B_c-ICEDSL-S2"=[1]OUT_TransportEnergyCons!$A$3:$A$1000)*1,("var_fout"=[1]OUT_TransportEnergyCons!$B$3:$B$1000)*1,ISNUMBER(SEARCH("TPBSc",[1]OUT_TransportEnergyCons!$C$3:$C$1000))*1,[1]OUT_TransportEnergyCons!H$3:H$1000)</f>
        <v>2.0976044363848994E-6</v>
      </c>
      <c r="K1449" s="1" cm="1">
        <f t="array" ref="K1449">SUMPRODUCT(("T_B_c-ICEDSL-S2"=[1]OUT_TransportEnergyCons!$A$3:$A$1000)*1,("var_fout"=[1]OUT_TransportEnergyCons!$B$3:$B$1000)*1,ISNUMBER(SEARCH("TPBSc",[1]OUT_TransportEnergyCons!$C$3:$C$1000))*1,[1]OUT_TransportEnergyCons!I$3:I$1000)</f>
        <v>7.0719674877029127E-7</v>
      </c>
    </row>
    <row r="1450" spans="2:11" x14ac:dyDescent="0.35">
      <c r="B1450" s="5" t="str">
        <f t="shared" si="927"/>
        <v>SPS1</v>
      </c>
      <c r="C1450" s="5" t="str">
        <f t="shared" si="928"/>
        <v>CH</v>
      </c>
      <c r="D1450" t="s">
        <v>1444</v>
      </c>
      <c r="E1450" t="str">
        <f t="shared" si="929"/>
        <v>billion km/yr.</v>
      </c>
      <c r="F1450" s="1" cm="1">
        <f t="array" ref="F1450">SUMPRODUCT(("T_B_c-ICEDSL-S3"=[1]OUT_TransportEnergyCons!$A$3:$A$1000)*1,("var_fout"=[1]OUT_TransportEnergyCons!$B$3:$B$1000)*1,ISNUMBER(SEARCH("TPBSc",[1]OUT_TransportEnergyCons!$C$3:$C$1000))*1,[1]OUT_TransportEnergyCons!D$3:D$1000)</f>
        <v>9.2762580914895528E-3</v>
      </c>
      <c r="G1450" s="1" cm="1">
        <f t="array" ref="G1450">SUMPRODUCT(("T_B_c-ICEDSL-S3"=[1]OUT_TransportEnergyCons!$A$3:$A$1000)*1,("var_fout"=[1]OUT_TransportEnergyCons!$B$3:$B$1000)*1,ISNUMBER(SEARCH("TPBSc",[1]OUT_TransportEnergyCons!$C$3:$C$1000))*1,[1]OUT_TransportEnergyCons!E$3:E$1000)</f>
        <v>7.4865391326663245E-3</v>
      </c>
      <c r="H1450" s="1" cm="1">
        <f t="array" ref="H1450">SUMPRODUCT(("T_B_c-ICEDSL-S3"=[1]OUT_TransportEnergyCons!$A$3:$A$1000)*1,("var_fout"=[1]OUT_TransportEnergyCons!$B$3:$B$1000)*1,ISNUMBER(SEARCH("TPBSc",[1]OUT_TransportEnergyCons!$C$3:$C$1000))*1,[1]OUT_TransportEnergyCons!F$3:F$1000)</f>
        <v>9.2396191285193247E-3</v>
      </c>
      <c r="I1450" s="1" cm="1">
        <f t="array" ref="I1450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SUMPRODUCT(("T_B_c-ICEDSL-S3"=[1]OUT_TransportEnergyCons!$A$3:$A$1000)*1,("var_fout"=[1]OUT_TransportEnergyCons!$B$3:$B$1000)*1,ISNUMBER(SEARCH("TPBSc",[1]OUT_TransportEnergyCons!$C$3:$C$1000))*1,[1]OUT_TransportEnergyCons!I$3:I$1000)</f>
        <v>0</v>
      </c>
    </row>
    <row r="1451" spans="2:11" x14ac:dyDescent="0.35">
      <c r="B1451" s="5" t="str">
        <f t="shared" si="927"/>
        <v>SPS1</v>
      </c>
      <c r="C1451" s="5" t="str">
        <f t="shared" si="928"/>
        <v>CH</v>
      </c>
      <c r="D1451" t="s">
        <v>1445</v>
      </c>
      <c r="E1451" t="str">
        <f t="shared" si="929"/>
        <v>billion km/yr.</v>
      </c>
      <c r="F1451" s="1" cm="1">
        <f t="array" ref="F1451">SUMPRODUCT(("T_B_c-ICEDSL-S4"=[1]OUT_TransportEnergyCons!$A$3:$A$1000)*1,("var_fout"=[1]OUT_TransportEnergyCons!$B$3:$B$1000)*1,ISNUMBER(SEARCH("TPBSc",[1]OUT_TransportEnergyCons!$C$3:$C$1000))*1,[1]OUT_TransportEnergyCons!D$3:D$1000)</f>
        <v>4.9994553287514246E-4</v>
      </c>
      <c r="G1451" s="1" cm="1">
        <f t="array" ref="G1451">SUMPRODUCT(("T_B_c-ICEDSL-S4"=[1]OUT_TransportEnergyCons!$A$3:$A$1000)*1,("var_fout"=[1]OUT_TransportEnergyCons!$B$3:$B$1000)*1,ISNUMBER(SEARCH("TPBSc",[1]OUT_TransportEnergyCons!$C$3:$C$1000))*1,[1]OUT_TransportEnergyCons!E$3:E$1000)</f>
        <v>1.7412820315055867E-6</v>
      </c>
      <c r="H1451" s="1" cm="1">
        <f t="array" ref="H1451">SUMPRODUCT(("T_B_c-ICEDSL-S4"=[1]OUT_TransportEnergyCons!$A$3:$A$1000)*1,("var_fout"=[1]OUT_TransportEnergyCons!$B$3:$B$1000)*1,ISNUMBER(SEARCH("TPBSc",[1]OUT_TransportEnergyCons!$C$3:$C$1000))*1,[1]OUT_TransportEnergyCons!F$3:F$1000)</f>
        <v>4.4590682172236569E-6</v>
      </c>
      <c r="I1451" s="1" cm="1">
        <f t="array" ref="I1451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SUMPRODUCT(("T_B_c-ICEDSL-S4"=[1]OUT_TransportEnergyCons!$A$3:$A$1000)*1,("var_fout"=[1]OUT_TransportEnergyCons!$B$3:$B$1000)*1,ISNUMBER(SEARCH("TPBSc",[1]OUT_TransportEnergyCons!$C$3:$C$1000))*1,[1]OUT_TransportEnergyCons!I$3:I$1000)</f>
        <v>0</v>
      </c>
    </row>
    <row r="1452" spans="2:11" x14ac:dyDescent="0.35">
      <c r="B1452" s="5" t="str">
        <f t="shared" si="927"/>
        <v>SPS1</v>
      </c>
      <c r="C1452" s="5" t="str">
        <f t="shared" si="928"/>
        <v>CH</v>
      </c>
      <c r="D1452" t="s">
        <v>2120</v>
      </c>
      <c r="E1452" t="str">
        <f t="shared" si="929"/>
        <v>billion km/yr.</v>
      </c>
      <c r="F1452" s="1" cm="1">
        <f t="array" ref="F1452">SUMPRODUCT(("T_B_c-ICEngaEXT"=[1]OUT_TransportEnergyCons!$A$3:$A$1000)*1,("var_fout"=[1]OUT_TransportEnergyCons!$B$3:$B$1000)*1,ISNUMBER(SEARCH("TPBSc",[1]OUT_TransportEnergyCons!$C$3:$C$1000))*1,[1]OUT_TransportEnergyCons!D$3:D$1000)</f>
        <v>1.3734811396973183E-3</v>
      </c>
      <c r="G1452" s="1" cm="1">
        <f t="array" ref="G1452">SUMPRODUCT(("T_B_c-ICEngaEXT"=[1]OUT_TransportEnergyCons!$A$3:$A$1000)*1,("var_fout"=[1]OUT_TransportEnergyCons!$B$3:$B$1000)*1,ISNUMBER(SEARCH("TPBSc",[1]OUT_TransportEnergyCons!$C$3:$C$1000))*1,[1]OUT_TransportEnergyCons!E$3:E$1000)</f>
        <v>1.1040285007044687E-3</v>
      </c>
      <c r="H1452" s="1" cm="1">
        <f t="array" ref="H1452">SUMPRODUCT(("T_B_c-ICEngaEXT"=[1]OUT_TransportEnergyCons!$A$3:$A$1000)*1,("var_fout"=[1]OUT_TransportEnergyCons!$B$3:$B$1000)*1,ISNUMBER(SEARCH("TPBSc",[1]OUT_TransportEnergyCons!$C$3:$C$1000))*1,[1]OUT_TransportEnergyCons!F$3:F$1000)</f>
        <v>6.875463389560577E-4</v>
      </c>
      <c r="I1452" s="1" cm="1">
        <f t="array" ref="I1452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SUMPRODUCT(("T_B_c-ICEngaEXT"=[1]OUT_TransportEnergyCons!$A$3:$A$1000)*1,("var_fout"=[1]OUT_TransportEnergyCons!$B$3:$B$1000)*1,ISNUMBER(SEARCH("TPBSc",[1]OUT_TransportEnergyCons!$C$3:$C$1000))*1,[1]OUT_TransportEnergyCons!I$3:I$1000)</f>
        <v>0</v>
      </c>
    </row>
    <row r="1453" spans="2:11" x14ac:dyDescent="0.35">
      <c r="B1453" s="5" t="str">
        <f t="shared" si="927"/>
        <v>SPS1</v>
      </c>
      <c r="C1453" s="5" t="str">
        <f t="shared" si="928"/>
        <v>CH</v>
      </c>
      <c r="D1453" t="s">
        <v>1446</v>
      </c>
      <c r="E1453" t="str">
        <f t="shared" si="929"/>
        <v>billion km/yr.</v>
      </c>
      <c r="F1453" s="1" cm="1">
        <f t="array" ref="F1453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3" s="1" cm="1">
        <f t="array" ref="G1453">SUMPRODUCT(("T_B_c-ICEnga-S1"=[1]OUT_TransportEnergyCons!$A$3:$A$1000)*1,("var_fout"=[1]OUT_TransportEnergyCons!$B$3:$B$1000)*1,ISNUMBER(SEARCH("TPBSc",[1]OUT_TransportEnergyCons!$C$3:$C$1000))*1,[1]OUT_TransportEnergyCons!E$3:E$1000)</f>
        <v>1.5595549071067014E-5</v>
      </c>
      <c r="H1453" s="1" cm="1">
        <f t="array" ref="H1453">SUMPRODUCT(("T_B_c-ICEnga-S1"=[1]OUT_TransportEnergyCons!$A$3:$A$1000)*1,("var_fout"=[1]OUT_TransportEnergyCons!$B$3:$B$1000)*1,ISNUMBER(SEARCH("TPBSc",[1]OUT_TransportEnergyCons!$C$3:$C$1000))*1,[1]OUT_TransportEnergyCons!F$3:F$1000)</f>
        <v>4.5264114766651829E-5</v>
      </c>
      <c r="I1453" s="1" cm="1">
        <f t="array" ref="I1453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SUMPRODUCT(("T_B_c-ICEnga-S1"=[1]OUT_TransportEnergyCons!$A$3:$A$1000)*1,("var_fout"=[1]OUT_TransportEnergyCons!$B$3:$B$1000)*1,ISNUMBER(SEARCH("TPBSc",[1]OUT_TransportEnergyCons!$C$3:$C$1000))*1,[1]OUT_TransportEnergyCons!H$3:H$1000)</f>
        <v>4.6646582400519407E-7</v>
      </c>
      <c r="K1453" s="1" cm="1">
        <f t="array" ref="K1453">SUMPRODUCT(("T_B_c-ICEnga-S1"=[1]OUT_TransportEnergyCons!$A$3:$A$1000)*1,("var_fout"=[1]OUT_TransportEnergyCons!$B$3:$B$1000)*1,ISNUMBER(SEARCH("TPBSc",[1]OUT_TransportEnergyCons!$C$3:$C$1000))*1,[1]OUT_TransportEnergyCons!I$3:I$1000)</f>
        <v>0</v>
      </c>
    </row>
    <row r="1454" spans="2:11" x14ac:dyDescent="0.35">
      <c r="B1454" s="5" t="str">
        <f t="shared" si="927"/>
        <v>SPS1</v>
      </c>
      <c r="C1454" s="5" t="str">
        <f t="shared" si="928"/>
        <v>CH</v>
      </c>
      <c r="D1454" t="s">
        <v>1447</v>
      </c>
      <c r="E1454" t="str">
        <f t="shared" si="929"/>
        <v>billion km/yr.</v>
      </c>
      <c r="F1454" s="1" cm="1">
        <f t="array" ref="F1454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4" s="1" cm="1">
        <f t="array" ref="G1454">SUMPRODUCT(("T_B_c-ICEnga-S2"=[1]OUT_TransportEnergyCons!$A$3:$A$1000)*1,("var_fout"=[1]OUT_TransportEnergyCons!$B$3:$B$1000)*1,ISNUMBER(SEARCH("TPBSc",[1]OUT_TransportEnergyCons!$C$3:$C$1000))*1,[1]OUT_TransportEnergyCons!E$3:E$1000)</f>
        <v>5.2789877568690345E-6</v>
      </c>
      <c r="H1454" s="1" cm="1">
        <f t="array" ref="H1454">SUMPRODUCT(("T_B_c-ICEnga-S2"=[1]OUT_TransportEnergyCons!$A$3:$A$1000)*1,("var_fout"=[1]OUT_TransportEnergyCons!$B$3:$B$1000)*1,ISNUMBER(SEARCH("TPBSc",[1]OUT_TransportEnergyCons!$C$3:$C$1000))*1,[1]OUT_TransportEnergyCons!F$3:F$1000)</f>
        <v>2.2751353272193782E-5</v>
      </c>
      <c r="I1454" s="1" cm="1">
        <f t="array" ref="I1454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SUMPRODUCT(("T_B_c-ICEnga-S2"=[1]OUT_TransportEnergyCons!$A$3:$A$1000)*1,("var_fout"=[1]OUT_TransportEnergyCons!$B$3:$B$1000)*1,ISNUMBER(SEARCH("TPBSc",[1]OUT_TransportEnergyCons!$C$3:$C$1000))*1,[1]OUT_TransportEnergyCons!H$3:H$1000)</f>
        <v>7.3348182284771806E-7</v>
      </c>
      <c r="K1454" s="1" cm="1">
        <f t="array" ref="K1454">SUMPRODUCT(("T_B_c-ICEnga-S2"=[1]OUT_TransportEnergyCons!$A$3:$A$1000)*1,("var_fout"=[1]OUT_TransportEnergyCons!$B$3:$B$1000)*1,ISNUMBER(SEARCH("TPBSc",[1]OUT_TransportEnergyCons!$C$3:$C$1000))*1,[1]OUT_TransportEnergyCons!I$3:I$1000)</f>
        <v>1.4239913738100068E-7</v>
      </c>
    </row>
    <row r="1455" spans="2:11" x14ac:dyDescent="0.35">
      <c r="B1455" s="5" t="str">
        <f t="shared" si="927"/>
        <v>SPS1</v>
      </c>
      <c r="C1455" s="5" t="str">
        <f t="shared" si="928"/>
        <v>CH</v>
      </c>
      <c r="D1455" t="s">
        <v>1448</v>
      </c>
      <c r="E1455" t="str">
        <f t="shared" si="929"/>
        <v>billion km/yr.</v>
      </c>
      <c r="F1455" s="1" cm="1">
        <f t="array" ref="F1455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SUMPRODUCT(("T_B_c-ICEnga-S3"=[1]OUT_TransportEnergyCons!$A$3:$A$1000)*1,("var_fout"=[1]OUT_TransportEnergyCons!$B$3:$B$1000)*1,ISNUMBER(SEARCH("TPBSc",[1]OUT_TransportEnergyCons!$C$3:$C$1000))*1,[1]OUT_TransportEnergyCons!E$3:E$1000)</f>
        <v>2.2489448871211211E-6</v>
      </c>
      <c r="H1455" s="1" cm="1">
        <f t="array" ref="H1455">SUMPRODUCT(("T_B_c-ICEnga-S3"=[1]OUT_TransportEnergyCons!$A$3:$A$1000)*1,("var_fout"=[1]OUT_TransportEnergyCons!$B$3:$B$1000)*1,ISNUMBER(SEARCH("TPBSc",[1]OUT_TransportEnergyCons!$C$3:$C$1000))*1,[1]OUT_TransportEnergyCons!F$3:F$1000)</f>
        <v>9.8608374948496871E-6</v>
      </c>
      <c r="I1455" s="1" cm="1">
        <f t="array" ref="I1455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SUMPRODUCT(("T_B_c-ICEnga-S3"=[1]OUT_TransportEnergyCons!$A$3:$A$1000)*1,("var_fout"=[1]OUT_TransportEnergyCons!$B$3:$B$1000)*1,ISNUMBER(SEARCH("TPBSc",[1]OUT_TransportEnergyCons!$C$3:$C$1000))*1,[1]OUT_TransportEnergyCons!H$3:H$1000)</f>
        <v>3.3461680766500247E-7</v>
      </c>
      <c r="K1455" s="1" cm="1">
        <f t="array" ref="K1455">SUMPRODUCT(("T_B_c-ICEnga-S3"=[1]OUT_TransportEnergyCons!$A$3:$A$1000)*1,("var_fout"=[1]OUT_TransportEnergyCons!$B$3:$B$1000)*1,ISNUMBER(SEARCH("TPBSc",[1]OUT_TransportEnergyCons!$C$3:$C$1000))*1,[1]OUT_TransportEnergyCons!I$3:I$1000)</f>
        <v>0</v>
      </c>
    </row>
    <row r="1456" spans="2:11" x14ac:dyDescent="0.35">
      <c r="B1456" s="5" t="str">
        <f t="shared" si="927"/>
        <v>SPS1</v>
      </c>
      <c r="C1456" s="5" t="str">
        <f t="shared" si="928"/>
        <v>CH</v>
      </c>
      <c r="D1456" t="s">
        <v>1449</v>
      </c>
      <c r="E1456" t="str">
        <f t="shared" si="929"/>
        <v>billion km/yr.</v>
      </c>
      <c r="F1456" s="1" cm="1">
        <f t="array" ref="F1456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6" s="1" cm="1">
        <f t="array" ref="H1456">SUMPRODUCT(("T_B_c-ICEnga-S4"=[1]OUT_TransportEnergyCons!$A$3:$A$1000)*1,("var_fout"=[1]OUT_TransportEnergyCons!$B$3:$B$1000)*1,ISNUMBER(SEARCH("TPBSc",[1]OUT_TransportEnergyCons!$C$3:$C$1000))*1,[1]OUT_TransportEnergyCons!F$3:F$1000)</f>
        <v>1.4534298589032499E-7</v>
      </c>
      <c r="I1456" s="1" cm="1">
        <f t="array" ref="I1456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SUMPRODUCT(("T_B_c-ICEnga-S4"=[1]OUT_TransportEnergyCons!$A$3:$A$1000)*1,("var_fout"=[1]OUT_TransportEnergyCons!$B$3:$B$1000)*1,ISNUMBER(SEARCH("TPBSc",[1]OUT_TransportEnergyCons!$C$3:$C$1000))*1,[1]OUT_TransportEnergyCons!I$3:I$1000)</f>
        <v>0</v>
      </c>
    </row>
    <row r="1457" spans="2:11" x14ac:dyDescent="0.35">
      <c r="B1457" s="5" t="str">
        <f>B1456</f>
        <v>SPS1</v>
      </c>
      <c r="C1457" s="5" t="str">
        <f>C1456</f>
        <v>CH</v>
      </c>
      <c r="D1457" s="2" t="s">
        <v>1394</v>
      </c>
      <c r="E1457" s="2" t="s">
        <v>1230</v>
      </c>
      <c r="F1457" s="21" t="s">
        <v>292</v>
      </c>
      <c r="G1457" s="21" t="s">
        <v>292</v>
      </c>
      <c r="H1457" s="21" t="s">
        <v>292</v>
      </c>
      <c r="I1457" s="21" t="s">
        <v>292</v>
      </c>
      <c r="J1457" s="21" t="s">
        <v>292</v>
      </c>
      <c r="K1457" s="21" t="s">
        <v>292</v>
      </c>
    </row>
    <row r="1458" spans="2:11" x14ac:dyDescent="0.35">
      <c r="B1458" s="5" t="str">
        <f t="shared" ref="B1458:B1480" si="930">B1457</f>
        <v>SPS1</v>
      </c>
      <c r="C1458" s="5" t="str">
        <f t="shared" ref="C1458:C1480" si="931">C1457</f>
        <v>CH</v>
      </c>
      <c r="D1458" t="s">
        <v>1450</v>
      </c>
      <c r="E1458" t="s">
        <v>1230</v>
      </c>
      <c r="F1458" s="1" t="str">
        <f>IFERROR(F1434/F1399,"-")</f>
        <v>-</v>
      </c>
      <c r="G1458" s="1" t="str">
        <f t="shared" ref="G1458:K1458" si="932">IFERROR(G1434/G1399,"-")</f>
        <v>-</v>
      </c>
      <c r="H1458" s="1" t="str">
        <f t="shared" si="932"/>
        <v>-</v>
      </c>
      <c r="I1458" s="1" t="str">
        <f t="shared" si="932"/>
        <v>-</v>
      </c>
      <c r="J1458" s="1" t="str">
        <f t="shared" si="932"/>
        <v>-</v>
      </c>
      <c r="K1458" s="1" t="str">
        <f t="shared" si="932"/>
        <v>-</v>
      </c>
    </row>
    <row r="1459" spans="2:11" x14ac:dyDescent="0.35">
      <c r="B1459" s="5" t="str">
        <f t="shared" si="930"/>
        <v>SPS1</v>
      </c>
      <c r="C1459" s="5" t="str">
        <f t="shared" si="931"/>
        <v>CH</v>
      </c>
      <c r="D1459" t="s">
        <v>1451</v>
      </c>
      <c r="E1459" t="s">
        <v>1230</v>
      </c>
      <c r="F1459" s="1">
        <f t="shared" ref="F1459:K1459" si="933">IFERROR(F1435/F1400,"-")</f>
        <v>0.37869321701871811</v>
      </c>
      <c r="G1459" s="1">
        <f t="shared" si="933"/>
        <v>0.38692284933462162</v>
      </c>
      <c r="H1459" s="1">
        <f t="shared" si="933"/>
        <v>0.3933272340008051</v>
      </c>
      <c r="I1459" s="1">
        <f t="shared" si="933"/>
        <v>0.44733678030666585</v>
      </c>
      <c r="J1459" s="1">
        <f t="shared" si="933"/>
        <v>0.47129846970630984</v>
      </c>
      <c r="K1459" s="1">
        <f t="shared" si="933"/>
        <v>0.53152531251897395</v>
      </c>
    </row>
    <row r="1460" spans="2:11" x14ac:dyDescent="0.35">
      <c r="B1460" s="5" t="str">
        <f t="shared" si="930"/>
        <v>SPS1</v>
      </c>
      <c r="C1460" s="5" t="str">
        <f t="shared" si="931"/>
        <v>CH</v>
      </c>
      <c r="D1460" t="s">
        <v>1452</v>
      </c>
      <c r="E1460" t="s">
        <v>1230</v>
      </c>
      <c r="F1460" s="1">
        <f t="shared" ref="F1460:K1460" si="934">IFERROR(F1436/F1401,"-")</f>
        <v>0.27518070496490676</v>
      </c>
      <c r="G1460" s="1">
        <f t="shared" si="934"/>
        <v>0.27903063413802304</v>
      </c>
      <c r="H1460" s="1">
        <f t="shared" si="934"/>
        <v>0.28142655753065998</v>
      </c>
      <c r="I1460" s="1">
        <f t="shared" si="934"/>
        <v>0.32433648045658808</v>
      </c>
      <c r="J1460" s="1">
        <f t="shared" si="934"/>
        <v>0.35085023900747619</v>
      </c>
      <c r="K1460" s="1">
        <f t="shared" si="934"/>
        <v>0.37767997759815741</v>
      </c>
    </row>
    <row r="1461" spans="2:11" x14ac:dyDescent="0.35">
      <c r="B1461" s="5" t="str">
        <f t="shared" si="930"/>
        <v>SPS1</v>
      </c>
      <c r="C1461" s="5" t="str">
        <f t="shared" si="931"/>
        <v>CH</v>
      </c>
      <c r="D1461" t="s">
        <v>1453</v>
      </c>
      <c r="E1461" t="s">
        <v>1230</v>
      </c>
      <c r="F1461" s="1">
        <f t="shared" ref="F1461:K1461" si="935">IFERROR(F1437/F1402,"-")</f>
        <v>0.18297040713439885</v>
      </c>
      <c r="G1461" s="1">
        <f t="shared" si="935"/>
        <v>0.18415799814134962</v>
      </c>
      <c r="H1461" s="1">
        <f t="shared" si="935"/>
        <v>0.18663927977045933</v>
      </c>
      <c r="I1461" s="1">
        <f t="shared" si="935"/>
        <v>0.21593311043592417</v>
      </c>
      <c r="J1461" s="1">
        <f t="shared" si="935"/>
        <v>0.23617650177264765</v>
      </c>
      <c r="K1461" s="1">
        <f t="shared" si="935"/>
        <v>0.25557289238244407</v>
      </c>
    </row>
    <row r="1462" spans="2:11" x14ac:dyDescent="0.35">
      <c r="B1462" s="5" t="str">
        <f t="shared" si="930"/>
        <v>SPS1</v>
      </c>
      <c r="C1462" s="5" t="str">
        <f t="shared" si="931"/>
        <v>CH</v>
      </c>
      <c r="D1462" t="s">
        <v>1454</v>
      </c>
      <c r="E1462" t="s">
        <v>1230</v>
      </c>
      <c r="F1462" s="1" t="str">
        <f t="shared" ref="F1462:K1462" si="936">IFERROR(F1438/F1403,"-")</f>
        <v>-</v>
      </c>
      <c r="G1462" s="1">
        <f t="shared" si="936"/>
        <v>0.12643429100140419</v>
      </c>
      <c r="H1462" s="1">
        <f t="shared" si="936"/>
        <v>0.12955197038416194</v>
      </c>
      <c r="I1462" s="1">
        <f t="shared" si="936"/>
        <v>0.14422302917473703</v>
      </c>
      <c r="J1462" s="1">
        <f t="shared" si="936"/>
        <v>0.1579706515525702</v>
      </c>
      <c r="K1462" s="1">
        <f t="shared" si="936"/>
        <v>0.1719144684094438</v>
      </c>
    </row>
    <row r="1463" spans="2:11" x14ac:dyDescent="0.35">
      <c r="B1463" s="5" t="str">
        <f t="shared" si="930"/>
        <v>SPS1</v>
      </c>
      <c r="C1463" s="5" t="str">
        <f t="shared" si="931"/>
        <v>CH</v>
      </c>
      <c r="D1463" t="s">
        <v>1455</v>
      </c>
      <c r="E1463" t="s">
        <v>1230</v>
      </c>
      <c r="F1463" s="1" t="str">
        <f>IFERROR(F1439/F1405,"-")</f>
        <v>-</v>
      </c>
      <c r="G1463" s="1" t="str">
        <f t="shared" ref="G1463:K1463" si="937">IFERROR(G1439/G1405,"-")</f>
        <v>-</v>
      </c>
      <c r="H1463" s="1" t="str">
        <f t="shared" si="937"/>
        <v>-</v>
      </c>
      <c r="I1463" s="1" t="str">
        <f t="shared" si="937"/>
        <v>-</v>
      </c>
      <c r="J1463" s="1" t="str">
        <f t="shared" si="937"/>
        <v>-</v>
      </c>
      <c r="K1463" s="1" t="str">
        <f t="shared" si="937"/>
        <v>-</v>
      </c>
    </row>
    <row r="1464" spans="2:11" x14ac:dyDescent="0.35">
      <c r="B1464" s="5" t="str">
        <f t="shared" si="930"/>
        <v>SPS1</v>
      </c>
      <c r="C1464" s="5" t="str">
        <f t="shared" si="931"/>
        <v>CH</v>
      </c>
      <c r="D1464" t="s">
        <v>1456</v>
      </c>
      <c r="E1464" t="s">
        <v>1230</v>
      </c>
      <c r="F1464" s="1" t="str">
        <f t="shared" ref="F1464:K1464" si="938">IFERROR(F1440/F1406,"-")</f>
        <v>-</v>
      </c>
      <c r="G1464" s="1" t="str">
        <f t="shared" si="938"/>
        <v>-</v>
      </c>
      <c r="H1464" s="1" t="str">
        <f t="shared" si="938"/>
        <v>-</v>
      </c>
      <c r="I1464" s="1" t="str">
        <f t="shared" si="938"/>
        <v>-</v>
      </c>
      <c r="J1464" s="1" t="str">
        <f t="shared" si="938"/>
        <v>-</v>
      </c>
      <c r="K1464" s="1" t="str">
        <f t="shared" si="938"/>
        <v>-</v>
      </c>
    </row>
    <row r="1465" spans="2:11" x14ac:dyDescent="0.35">
      <c r="B1465" s="5" t="str">
        <f t="shared" si="930"/>
        <v>SPS1</v>
      </c>
      <c r="C1465" s="5" t="str">
        <f t="shared" si="931"/>
        <v>CH</v>
      </c>
      <c r="D1465" t="s">
        <v>1457</v>
      </c>
      <c r="E1465" t="s">
        <v>1230</v>
      </c>
      <c r="F1465" s="1" t="str">
        <f t="shared" ref="F1465:K1465" si="939">IFERROR(F1441/F1407,"-")</f>
        <v>-</v>
      </c>
      <c r="G1465" s="1" t="str">
        <f t="shared" si="939"/>
        <v>-</v>
      </c>
      <c r="H1465" s="1" t="str">
        <f t="shared" si="939"/>
        <v>-</v>
      </c>
      <c r="I1465" s="1">
        <f t="shared" si="939"/>
        <v>0.113108391373723</v>
      </c>
      <c r="J1465" s="1">
        <f t="shared" si="939"/>
        <v>0.12984912198953505</v>
      </c>
      <c r="K1465" s="1" t="str">
        <f t="shared" si="939"/>
        <v>-</v>
      </c>
    </row>
    <row r="1466" spans="2:11" x14ac:dyDescent="0.35">
      <c r="B1466" s="5" t="str">
        <f t="shared" si="930"/>
        <v>SPS1</v>
      </c>
      <c r="C1466" s="5" t="str">
        <f t="shared" si="931"/>
        <v>CH</v>
      </c>
      <c r="D1466" t="s">
        <v>1458</v>
      </c>
      <c r="E1466" t="s">
        <v>1230</v>
      </c>
      <c r="F1466" s="1" t="str">
        <f t="shared" ref="F1466:K1466" si="940">IFERROR(F1442/F1408,"-")</f>
        <v>-</v>
      </c>
      <c r="G1466" s="1" t="str">
        <f t="shared" si="940"/>
        <v>-</v>
      </c>
      <c r="H1466" s="1" t="str">
        <f t="shared" si="940"/>
        <v>-</v>
      </c>
      <c r="I1466" s="1" t="str">
        <f t="shared" si="940"/>
        <v>-</v>
      </c>
      <c r="J1466" s="1" t="str">
        <f t="shared" si="940"/>
        <v>-</v>
      </c>
      <c r="K1466" s="1" t="str">
        <f t="shared" si="940"/>
        <v>-</v>
      </c>
    </row>
    <row r="1467" spans="2:11" x14ac:dyDescent="0.35">
      <c r="B1467" s="5" t="str">
        <f t="shared" si="930"/>
        <v>SPS1</v>
      </c>
      <c r="C1467" s="5" t="str">
        <f t="shared" si="931"/>
        <v>CH</v>
      </c>
      <c r="D1467" t="s">
        <v>1459</v>
      </c>
      <c r="E1467" t="s">
        <v>1230</v>
      </c>
      <c r="F1467" s="1" t="str">
        <f>IFERROR(F1443/F1414,"-")</f>
        <v>-</v>
      </c>
      <c r="G1467" s="1">
        <f t="shared" ref="G1467:K1467" si="941">IFERROR(G1443/G1414,"-")</f>
        <v>0.16251369968883847</v>
      </c>
      <c r="H1467" s="1">
        <f t="shared" si="941"/>
        <v>0.16367945987743224</v>
      </c>
      <c r="I1467" s="1" t="str">
        <f t="shared" si="941"/>
        <v>-</v>
      </c>
      <c r="J1467" s="1">
        <f t="shared" si="941"/>
        <v>0.20464841739300293</v>
      </c>
      <c r="K1467" s="1">
        <f t="shared" si="941"/>
        <v>0.20464841739300299</v>
      </c>
    </row>
    <row r="1468" spans="2:11" x14ac:dyDescent="0.35">
      <c r="B1468" s="5" t="str">
        <f t="shared" si="930"/>
        <v>SPS1</v>
      </c>
      <c r="C1468" s="5" t="str">
        <f t="shared" si="931"/>
        <v>CH</v>
      </c>
      <c r="D1468" t="s">
        <v>1460</v>
      </c>
      <c r="E1468" t="s">
        <v>1230</v>
      </c>
      <c r="F1468" s="1" t="str">
        <f t="shared" ref="F1468:K1468" si="942">IFERROR(F1444/F1415,"-")</f>
        <v>-</v>
      </c>
      <c r="G1468" s="1">
        <f t="shared" si="942"/>
        <v>0.11649393435744144</v>
      </c>
      <c r="H1468" s="1">
        <f t="shared" si="942"/>
        <v>0.11908952621268439</v>
      </c>
      <c r="I1468" s="1" t="str">
        <f t="shared" si="942"/>
        <v>-</v>
      </c>
      <c r="J1468" s="1">
        <f t="shared" si="942"/>
        <v>0.14667213054387709</v>
      </c>
      <c r="K1468" s="1">
        <f t="shared" si="942"/>
        <v>0.14667213054387701</v>
      </c>
    </row>
    <row r="1469" spans="2:11" x14ac:dyDescent="0.35">
      <c r="B1469" s="5" t="str">
        <f t="shared" si="930"/>
        <v>SPS1</v>
      </c>
      <c r="C1469" s="5" t="str">
        <f t="shared" si="931"/>
        <v>CH</v>
      </c>
      <c r="D1469" t="s">
        <v>1461</v>
      </c>
      <c r="E1469" t="s">
        <v>1230</v>
      </c>
      <c r="F1469" s="1" t="str">
        <f t="shared" ref="F1469:K1469" si="943">IFERROR(F1445/F1416,"-")</f>
        <v>-</v>
      </c>
      <c r="G1469" s="1">
        <f t="shared" si="943"/>
        <v>7.8235828164578872E-2</v>
      </c>
      <c r="H1469" s="1">
        <f t="shared" si="943"/>
        <v>7.9846479094393977E-2</v>
      </c>
      <c r="I1469" s="1">
        <f t="shared" si="943"/>
        <v>8.0588903923203767E-2</v>
      </c>
      <c r="J1469" s="1" t="str">
        <f t="shared" si="943"/>
        <v>-</v>
      </c>
      <c r="K1469" s="1" t="str">
        <f t="shared" si="943"/>
        <v>-</v>
      </c>
    </row>
    <row r="1470" spans="2:11" x14ac:dyDescent="0.35">
      <c r="B1470" s="5" t="str">
        <f t="shared" si="930"/>
        <v>SPS1</v>
      </c>
      <c r="C1470" s="5" t="str">
        <f t="shared" si="931"/>
        <v>CH</v>
      </c>
      <c r="D1470" t="s">
        <v>1462</v>
      </c>
      <c r="E1470" t="s">
        <v>1230</v>
      </c>
      <c r="F1470" s="1" t="str">
        <f t="shared" ref="F1470:K1470" si="944">IFERROR(F1446/F1417,"-")</f>
        <v>-</v>
      </c>
      <c r="G1470" s="1">
        <f t="shared" si="944"/>
        <v>5.27514398304978E-2</v>
      </c>
      <c r="H1470" s="1">
        <f t="shared" si="944"/>
        <v>5.3312118208171118E-2</v>
      </c>
      <c r="I1470" s="1" t="str">
        <f t="shared" si="944"/>
        <v>-</v>
      </c>
      <c r="J1470" s="1" t="str">
        <f t="shared" si="944"/>
        <v>-</v>
      </c>
      <c r="K1470" s="1" t="str">
        <f t="shared" si="944"/>
        <v>-</v>
      </c>
    </row>
    <row r="1471" spans="2:11" x14ac:dyDescent="0.35">
      <c r="B1471" s="5" t="str">
        <f t="shared" si="930"/>
        <v>SPS1</v>
      </c>
      <c r="C1471" s="5" t="str">
        <f t="shared" si="931"/>
        <v>CH</v>
      </c>
      <c r="D1471" t="s">
        <v>2118</v>
      </c>
      <c r="E1471" t="s">
        <v>1230</v>
      </c>
      <c r="F1471" s="1">
        <f>IFERROR(F1447/F1418,"-")</f>
        <v>9.9502495941956557</v>
      </c>
      <c r="G1471" s="1">
        <f t="shared" ref="G1471:K1471" si="945">IFERROR(G1447/G1418,"-")</f>
        <v>7.979726651200318</v>
      </c>
      <c r="H1471" s="1">
        <f t="shared" si="945"/>
        <v>5.0239422367072901</v>
      </c>
      <c r="I1471" s="1" t="str">
        <f t="shared" si="945"/>
        <v>-</v>
      </c>
      <c r="J1471" s="1" t="str">
        <f t="shared" si="945"/>
        <v>-</v>
      </c>
      <c r="K1471" s="1" t="str">
        <f t="shared" si="945"/>
        <v>-</v>
      </c>
    </row>
    <row r="1472" spans="2:11" x14ac:dyDescent="0.35">
      <c r="B1472" s="5" t="str">
        <f t="shared" si="930"/>
        <v>SPS1</v>
      </c>
      <c r="C1472" s="5" t="str">
        <f t="shared" si="931"/>
        <v>CH</v>
      </c>
      <c r="D1472" t="s">
        <v>1463</v>
      </c>
      <c r="E1472" t="s">
        <v>1230</v>
      </c>
      <c r="F1472" s="1">
        <f t="shared" ref="F1472:K1472" si="946">IFERROR(F1448/F1419,"-")</f>
        <v>0.12391916748597469</v>
      </c>
      <c r="G1472" s="1">
        <f t="shared" si="946"/>
        <v>0.12667639744554834</v>
      </c>
      <c r="H1472" s="1">
        <f t="shared" si="946"/>
        <v>0.12823966771230802</v>
      </c>
      <c r="I1472" s="1" t="str">
        <f t="shared" si="946"/>
        <v>-</v>
      </c>
      <c r="J1472" s="1">
        <f t="shared" si="946"/>
        <v>0.16277535382583058</v>
      </c>
      <c r="K1472" s="1">
        <f t="shared" si="946"/>
        <v>0.16277535382583044</v>
      </c>
    </row>
    <row r="1473" spans="2:11" x14ac:dyDescent="0.35">
      <c r="B1473" s="5" t="str">
        <f t="shared" si="930"/>
        <v>SPS1</v>
      </c>
      <c r="C1473" s="5" t="str">
        <f t="shared" si="931"/>
        <v>CH</v>
      </c>
      <c r="D1473" t="s">
        <v>1464</v>
      </c>
      <c r="E1473" t="s">
        <v>1230</v>
      </c>
      <c r="F1473" s="1">
        <f t="shared" ref="F1473:K1473" si="947">IFERROR(F1449/F1420,"-")</f>
        <v>8.7465847585616777E-2</v>
      </c>
      <c r="G1473" s="1">
        <f t="shared" si="947"/>
        <v>8.7810350541324689E-2</v>
      </c>
      <c r="H1473" s="1">
        <f t="shared" si="947"/>
        <v>8.7752111679433711E-2</v>
      </c>
      <c r="I1473" s="1" t="str">
        <f t="shared" si="947"/>
        <v>-</v>
      </c>
      <c r="J1473" s="1">
        <f t="shared" si="947"/>
        <v>0.11343753121307447</v>
      </c>
      <c r="K1473" s="1">
        <f t="shared" si="947"/>
        <v>0.11343753121307441</v>
      </c>
    </row>
    <row r="1474" spans="2:11" x14ac:dyDescent="0.35">
      <c r="B1474" s="5" t="str">
        <f t="shared" si="930"/>
        <v>SPS1</v>
      </c>
      <c r="C1474" s="5" t="str">
        <f t="shared" si="931"/>
        <v>CH</v>
      </c>
      <c r="D1474" t="s">
        <v>1465</v>
      </c>
      <c r="E1474" t="s">
        <v>1230</v>
      </c>
      <c r="F1474" s="1">
        <f t="shared" ref="F1474:K1474" si="948">IFERROR(F1450/F1421,"-")</f>
        <v>5.7949527986548587E-2</v>
      </c>
      <c r="G1474" s="1">
        <f t="shared" si="948"/>
        <v>5.8176120419647509E-2</v>
      </c>
      <c r="H1474" s="1">
        <f t="shared" si="948"/>
        <v>5.8140690061920908E-2</v>
      </c>
      <c r="I1474" s="1" t="str">
        <f t="shared" si="948"/>
        <v>-</v>
      </c>
      <c r="J1474" s="1" t="str">
        <f t="shared" si="948"/>
        <v>-</v>
      </c>
      <c r="K1474" s="1" t="str">
        <f t="shared" si="948"/>
        <v>-</v>
      </c>
    </row>
    <row r="1475" spans="2:11" x14ac:dyDescent="0.35">
      <c r="B1475" s="5" t="str">
        <f t="shared" si="930"/>
        <v>SPS1</v>
      </c>
      <c r="C1475" s="5" t="str">
        <f t="shared" si="931"/>
        <v>CH</v>
      </c>
      <c r="D1475" t="s">
        <v>1466</v>
      </c>
      <c r="E1475" t="s">
        <v>1230</v>
      </c>
      <c r="F1475" s="1">
        <f t="shared" ref="F1475:K1475" si="949">IFERROR(F1451/F1422,"-")</f>
        <v>3.8646481387947497E-2</v>
      </c>
      <c r="G1475" s="1">
        <f t="shared" si="949"/>
        <v>3.8877065622297695E-2</v>
      </c>
      <c r="H1475" s="1">
        <f t="shared" si="949"/>
        <v>3.9013821454561413E-2</v>
      </c>
      <c r="I1475" s="1" t="str">
        <f t="shared" si="949"/>
        <v>-</v>
      </c>
      <c r="J1475" s="1" t="str">
        <f t="shared" si="949"/>
        <v>-</v>
      </c>
      <c r="K1475" s="1" t="str">
        <f t="shared" si="949"/>
        <v>-</v>
      </c>
    </row>
    <row r="1476" spans="2:11" x14ac:dyDescent="0.35">
      <c r="B1476" s="5" t="str">
        <f t="shared" si="930"/>
        <v>SPS1</v>
      </c>
      <c r="C1476" s="5" t="str">
        <f t="shared" si="931"/>
        <v>CH</v>
      </c>
      <c r="D1476" t="s">
        <v>2121</v>
      </c>
      <c r="E1476" t="s">
        <v>1230</v>
      </c>
      <c r="F1476" s="1">
        <f>IFERROR(F1452/F1428,"-")</f>
        <v>9.9502495941956575</v>
      </c>
      <c r="G1476" s="1">
        <f t="shared" ref="G1476:K1476" si="950">IFERROR(G1452/G1428,"-")</f>
        <v>7.9767976048237443</v>
      </c>
      <c r="H1476" s="1">
        <f t="shared" si="950"/>
        <v>5.0166196207658649</v>
      </c>
      <c r="I1476" s="1" t="str">
        <f t="shared" si="950"/>
        <v>-</v>
      </c>
      <c r="J1476" s="1" t="str">
        <f t="shared" si="950"/>
        <v>-</v>
      </c>
      <c r="K1476" s="1" t="str">
        <f t="shared" si="950"/>
        <v>-</v>
      </c>
    </row>
    <row r="1477" spans="2:11" x14ac:dyDescent="0.35">
      <c r="B1477" s="5" t="str">
        <f t="shared" si="930"/>
        <v>SPS1</v>
      </c>
      <c r="C1477" s="5" t="str">
        <f t="shared" si="931"/>
        <v>CH</v>
      </c>
      <c r="D1477" t="s">
        <v>1467</v>
      </c>
      <c r="E1477" t="s">
        <v>1230</v>
      </c>
      <c r="F1477" s="1" t="str">
        <f t="shared" ref="F1477:K1477" si="951">IFERROR(F1453/F1429,"-")</f>
        <v>-</v>
      </c>
      <c r="G1477" s="1">
        <f t="shared" si="951"/>
        <v>0.12023751974847217</v>
      </c>
      <c r="H1477" s="1">
        <f t="shared" si="951"/>
        <v>0.12395660973042757</v>
      </c>
      <c r="I1477" s="1" t="str">
        <f t="shared" si="951"/>
        <v>-</v>
      </c>
      <c r="J1477" s="1">
        <f t="shared" si="951"/>
        <v>0.15290988452940499</v>
      </c>
      <c r="K1477" s="1" t="str">
        <f t="shared" si="951"/>
        <v>-</v>
      </c>
    </row>
    <row r="1478" spans="2:11" x14ac:dyDescent="0.35">
      <c r="B1478" s="5" t="str">
        <f t="shared" si="930"/>
        <v>SPS1</v>
      </c>
      <c r="C1478" s="5" t="str">
        <f t="shared" si="931"/>
        <v>CH</v>
      </c>
      <c r="D1478" t="s">
        <v>1468</v>
      </c>
      <c r="E1478" t="s">
        <v>1230</v>
      </c>
      <c r="F1478" s="1" t="str">
        <f t="shared" ref="F1478:K1478" si="952">IFERROR(F1454/F1430,"-")</f>
        <v>-</v>
      </c>
      <c r="G1478" s="1">
        <f t="shared" si="952"/>
        <v>8.499807623360886E-2</v>
      </c>
      <c r="H1478" s="1">
        <f t="shared" si="952"/>
        <v>8.8094558816238205E-2</v>
      </c>
      <c r="I1478" s="1" t="str">
        <f t="shared" si="952"/>
        <v>-</v>
      </c>
      <c r="J1478" s="1">
        <f t="shared" si="952"/>
        <v>0.10690580004720136</v>
      </c>
      <c r="K1478" s="1">
        <f t="shared" si="952"/>
        <v>0.10690580004720164</v>
      </c>
    </row>
    <row r="1479" spans="2:11" x14ac:dyDescent="0.35">
      <c r="B1479" s="5" t="str">
        <f t="shared" si="930"/>
        <v>SPS1</v>
      </c>
      <c r="C1479" s="5" t="str">
        <f t="shared" si="931"/>
        <v>CH</v>
      </c>
      <c r="D1479" t="s">
        <v>1469</v>
      </c>
      <c r="E1479" t="s">
        <v>1230</v>
      </c>
      <c r="F1479" s="1" t="str">
        <f t="shared" ref="F1479:K1479" si="953">IFERROR(F1455/F1431,"-")</f>
        <v>-</v>
      </c>
      <c r="G1479" s="1">
        <f t="shared" si="953"/>
        <v>5.642213346123711E-2</v>
      </c>
      <c r="H1479" s="1">
        <f t="shared" si="953"/>
        <v>5.841072111216869E-2</v>
      </c>
      <c r="I1479" s="1" t="str">
        <f t="shared" si="953"/>
        <v>-</v>
      </c>
      <c r="J1479" s="1">
        <f t="shared" si="953"/>
        <v>7.0958063870597554E-2</v>
      </c>
      <c r="K1479" s="1" t="str">
        <f t="shared" si="953"/>
        <v>-</v>
      </c>
    </row>
    <row r="1480" spans="2:11" x14ac:dyDescent="0.35">
      <c r="B1480" s="5" t="str">
        <f t="shared" si="930"/>
        <v>SPS1</v>
      </c>
      <c r="C1480" s="5" t="str">
        <f t="shared" si="931"/>
        <v>CH</v>
      </c>
      <c r="D1480" t="s">
        <v>1470</v>
      </c>
      <c r="E1480" t="s">
        <v>1230</v>
      </c>
      <c r="F1480" s="1" t="str">
        <f t="shared" ref="F1480:K1480" si="954">IFERROR(F1456/F1432,"-")</f>
        <v>-</v>
      </c>
      <c r="G1480" s="1" t="str">
        <f t="shared" si="954"/>
        <v>-</v>
      </c>
      <c r="H1480" s="1">
        <f t="shared" si="954"/>
        <v>3.9673729016116592E-2</v>
      </c>
      <c r="I1480" s="1" t="str">
        <f t="shared" si="954"/>
        <v>-</v>
      </c>
      <c r="J1480" s="1" t="str">
        <f t="shared" si="954"/>
        <v>-</v>
      </c>
      <c r="K1480" s="1" t="str">
        <f t="shared" si="954"/>
        <v>-</v>
      </c>
    </row>
    <row r="1481" spans="2:11" x14ac:dyDescent="0.35">
      <c r="B1481" s="9" t="str">
        <f>B1480</f>
        <v>SPS1</v>
      </c>
      <c r="C1481" s="9" t="str">
        <f>C1480</f>
        <v>CH</v>
      </c>
      <c r="D1481" s="2" t="s">
        <v>1474</v>
      </c>
      <c r="E1481" s="2" t="s">
        <v>8</v>
      </c>
      <c r="F1481" s="3">
        <f>F1482</f>
        <v>0.2816422643485601</v>
      </c>
      <c r="G1481" s="3">
        <f t="shared" ref="G1481:K1481" si="955">G1482</f>
        <v>0.30668648626079364</v>
      </c>
      <c r="H1481" s="3">
        <f t="shared" si="955"/>
        <v>0.35149986092475399</v>
      </c>
      <c r="I1481" s="3">
        <f t="shared" si="955"/>
        <v>0.45078090930791764</v>
      </c>
      <c r="J1481" s="3">
        <f t="shared" si="955"/>
        <v>0.47237229295618205</v>
      </c>
      <c r="K1481" s="3">
        <f t="shared" si="955"/>
        <v>0.48809144422268164</v>
      </c>
    </row>
    <row r="1482" spans="2:11" x14ac:dyDescent="0.35">
      <c r="B1482" s="5" t="str">
        <f>B1481</f>
        <v>SPS1</v>
      </c>
      <c r="C1482" s="5" t="str">
        <f>C1481</f>
        <v>CH</v>
      </c>
      <c r="D1482" t="s">
        <v>1475</v>
      </c>
      <c r="E1482" t="s">
        <v>8</v>
      </c>
      <c r="F1482" s="1">
        <f>F1483</f>
        <v>0.2816422643485601</v>
      </c>
      <c r="G1482" s="1">
        <f t="shared" ref="G1482:K1482" si="956">G1483</f>
        <v>0.30668648626079364</v>
      </c>
      <c r="H1482" s="1">
        <f t="shared" si="956"/>
        <v>0.35149986092475399</v>
      </c>
      <c r="I1482" s="1">
        <f t="shared" si="956"/>
        <v>0.45078090930791764</v>
      </c>
      <c r="J1482" s="1">
        <f t="shared" si="956"/>
        <v>0.47237229295618205</v>
      </c>
      <c r="K1482" s="1">
        <f t="shared" si="956"/>
        <v>0.48809144422268164</v>
      </c>
    </row>
    <row r="1483" spans="2:11" x14ac:dyDescent="0.35">
      <c r="B1483" s="5" t="str">
        <f t="shared" ref="B1483" si="957">B1482</f>
        <v>SPS1</v>
      </c>
      <c r="C1483" s="5" t="str">
        <f t="shared" ref="C1483" si="958">C1482</f>
        <v>CH</v>
      </c>
      <c r="D1483" t="s">
        <v>1476</v>
      </c>
      <c r="E1483" t="s">
        <v>8</v>
      </c>
      <c r="F1483" s="1" cm="1">
        <f t="array" ref="F1483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3" s="1" cm="1">
        <f t="array" ref="G1483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3" s="1" cm="1">
        <f t="array" ref="H1483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3" s="1" cm="1">
        <f t="array" ref="I1483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3" s="1" cm="1">
        <f t="array" ref="J1483">SUMPRODUCT(("T_TRLY_ELC"=[1]OUT_TransportEnergyCons!$A$3:$A$1000)*1,("Var_Fin"=[1]OUT_TransportEnergyCons!$B$3:$B$1000)*1,ISNUMBER(SEARCH("ELC",[1]OUT_TransportEnergyCons!$C$3:$C$1000))*1,[1]OUT_TransportEnergyCons!H$3:H$1000)</f>
        <v>0.47237229295618205</v>
      </c>
      <c r="K1483" s="1" cm="1">
        <f t="array" ref="K1483">SUMPRODUCT(("T_TRLY_ELC"=[1]OUT_TransportEnergyCons!$A$3:$A$1000)*1,("Var_Fin"=[1]OUT_TransportEnergyCons!$B$3:$B$1000)*1,ISNUMBER(SEARCH("ELC",[1]OUT_TransportEnergyCons!$C$3:$C$1000))*1,[1]OUT_TransportEnergyCons!I$3:I$1000)</f>
        <v>0.48809144422268164</v>
      </c>
    </row>
    <row r="1484" spans="2:11" x14ac:dyDescent="0.35">
      <c r="B1484" s="9" t="str">
        <f t="shared" ref="B1484:C1487" si="959">B1483</f>
        <v>SPS1</v>
      </c>
      <c r="C1484" s="9" t="str">
        <f t="shared" si="959"/>
        <v>CH</v>
      </c>
      <c r="D1484" s="2" t="s">
        <v>1479</v>
      </c>
      <c r="E1484" s="2" t="s">
        <v>1132</v>
      </c>
      <c r="F1484" s="3">
        <f>F1485</f>
        <v>2.7120999999999972E-2</v>
      </c>
      <c r="G1484" s="3">
        <f t="shared" ref="G1484:K1484" si="960">G1485</f>
        <v>2.7782165745480814E-2</v>
      </c>
      <c r="H1484" s="3">
        <f t="shared" si="960"/>
        <v>2.8832315767707572E-2</v>
      </c>
      <c r="I1484" s="3">
        <f t="shared" si="960"/>
        <v>3.0543631535415186E-2</v>
      </c>
      <c r="J1484" s="3">
        <f t="shared" si="960"/>
        <v>3.2006602244411902E-2</v>
      </c>
      <c r="K1484" s="3">
        <f t="shared" si="960"/>
        <v>3.3071687199031086E-2</v>
      </c>
    </row>
    <row r="1485" spans="2:11" x14ac:dyDescent="0.35">
      <c r="B1485" s="5" t="str">
        <f t="shared" si="959"/>
        <v>SPS1</v>
      </c>
      <c r="C1485" s="5" t="str">
        <f t="shared" si="959"/>
        <v>CH</v>
      </c>
      <c r="D1485" t="s">
        <v>1480</v>
      </c>
      <c r="E1485" t="s">
        <v>1132</v>
      </c>
      <c r="F1485" s="1" cm="1">
        <f t="array" ref="F1485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5" s="1" cm="1">
        <f t="array" ref="G1485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5" s="1" cm="1">
        <f t="array" ref="H1485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5" s="1" cm="1">
        <f t="array" ref="I1485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5" s="1" cm="1">
        <f t="array" ref="J1485">SUMPRODUCT(("T_TRLY_ELC"=[1]OUT_TransportEnergyCons!$A$3:$A$1000)*1,("Var_Fout"=[1]OUT_TransportEnergyCons!$B$3:$B$1000)*1,ISNUMBER(SEARCH("tptrly",[1]OUT_TransportEnergyCons!$C$3:$C$1000))*1,[1]OUT_TransportEnergyCons!H$3:H$1000)</f>
        <v>3.2006602244411902E-2</v>
      </c>
      <c r="K1485" s="1" cm="1">
        <f t="array" ref="K1485">SUMPRODUCT(("T_TRLY_ELC"=[1]OUT_TransportEnergyCons!$A$3:$A$1000)*1,("Var_Fout"=[1]OUT_TransportEnergyCons!$B$3:$B$1000)*1,ISNUMBER(SEARCH("tptrly",[1]OUT_TransportEnergyCons!$C$3:$C$1000))*1,[1]OUT_TransportEnergyCons!I$3:I$1000)</f>
        <v>3.3071687199031086E-2</v>
      </c>
    </row>
    <row r="1486" spans="2:11" x14ac:dyDescent="0.35">
      <c r="B1486" s="9" t="str">
        <f t="shared" si="959"/>
        <v>SPS1</v>
      </c>
      <c r="C1486" s="9" t="str">
        <f t="shared" si="959"/>
        <v>CH</v>
      </c>
      <c r="D1486" s="2" t="s">
        <v>1481</v>
      </c>
      <c r="E1486" s="2" t="s">
        <v>1230</v>
      </c>
      <c r="F1486" s="1" t="s">
        <v>292</v>
      </c>
      <c r="G1486" s="1" t="s">
        <v>292</v>
      </c>
      <c r="H1486" s="1" t="s">
        <v>292</v>
      </c>
      <c r="I1486" s="1" t="s">
        <v>292</v>
      </c>
      <c r="J1486" s="1" t="s">
        <v>292</v>
      </c>
      <c r="K1486" s="1" t="s">
        <v>292</v>
      </c>
    </row>
    <row r="1487" spans="2:11" x14ac:dyDescent="0.35">
      <c r="B1487" s="5" t="str">
        <f t="shared" si="959"/>
        <v>SPS1</v>
      </c>
      <c r="C1487" s="5" t="str">
        <f t="shared" si="959"/>
        <v>CH</v>
      </c>
      <c r="D1487" t="s">
        <v>1482</v>
      </c>
      <c r="E1487" t="str">
        <f>E1486</f>
        <v>km/MJ</v>
      </c>
      <c r="F1487" s="1">
        <f>F1485/F1483</f>
        <v>9.6295916604459117E-2</v>
      </c>
      <c r="G1487" s="1">
        <f t="shared" ref="G1487:K1487" si="961">G1485/G1483</f>
        <v>9.0588164102724744E-2</v>
      </c>
      <c r="H1487" s="1">
        <f t="shared" si="961"/>
        <v>8.2026535350122776E-2</v>
      </c>
      <c r="I1487" s="1">
        <f t="shared" si="961"/>
        <v>6.7757154095786171E-2</v>
      </c>
      <c r="J1487" s="1">
        <f t="shared" si="961"/>
        <v>6.7757154095786226E-2</v>
      </c>
      <c r="K1487" s="1">
        <f t="shared" si="961"/>
        <v>6.7757154095786226E-2</v>
      </c>
    </row>
    <row r="1488" spans="2:11" x14ac:dyDescent="0.35">
      <c r="B1488" s="9" t="str">
        <f>B1483</f>
        <v>SPS1</v>
      </c>
      <c r="C1488" s="9" t="str">
        <f>C1483</f>
        <v>CH</v>
      </c>
      <c r="D1488" s="2" t="s">
        <v>1473</v>
      </c>
      <c r="E1488" s="2" t="s">
        <v>8</v>
      </c>
      <c r="F1488" s="3">
        <f>F1489</f>
        <v>0.58772895164057959</v>
      </c>
      <c r="G1488" s="3">
        <f t="shared" ref="G1488:G1489" si="962">G1489</f>
        <v>0.61504030570008339</v>
      </c>
      <c r="H1488" s="3">
        <f t="shared" ref="H1488:H1489" si="963">H1489</f>
        <v>0.65830556959273911</v>
      </c>
      <c r="I1488" s="3">
        <f t="shared" ref="I1488:I1489" si="964">I1489</f>
        <v>0.7379148962536346</v>
      </c>
      <c r="J1488" s="3">
        <f t="shared" ref="J1488:J1489" si="965">J1489</f>
        <v>0.77325934733858914</v>
      </c>
      <c r="K1488" s="3">
        <f t="shared" ref="K1488:K1489" si="966">K1489</f>
        <v>0.79899112903654423</v>
      </c>
    </row>
    <row r="1489" spans="2:11" x14ac:dyDescent="0.35">
      <c r="B1489" s="5" t="str">
        <f>B1488</f>
        <v>SPS1</v>
      </c>
      <c r="C1489" s="5" t="str">
        <f>C1488</f>
        <v>CH</v>
      </c>
      <c r="D1489" t="s">
        <v>1477</v>
      </c>
      <c r="E1489" t="s">
        <v>8</v>
      </c>
      <c r="F1489" s="1">
        <f>F1490</f>
        <v>0.58772895164057959</v>
      </c>
      <c r="G1489" s="1">
        <f t="shared" si="962"/>
        <v>0.61504030570008339</v>
      </c>
      <c r="H1489" s="1">
        <f t="shared" si="963"/>
        <v>0.65830556959273911</v>
      </c>
      <c r="I1489" s="1">
        <f t="shared" si="964"/>
        <v>0.7379148962536346</v>
      </c>
      <c r="J1489" s="1">
        <f t="shared" si="965"/>
        <v>0.77325934733858914</v>
      </c>
      <c r="K1489" s="1">
        <f t="shared" si="966"/>
        <v>0.79899112903654423</v>
      </c>
    </row>
    <row r="1490" spans="2:11" x14ac:dyDescent="0.35">
      <c r="B1490" s="5" t="str">
        <f t="shared" ref="B1490" si="967">B1489</f>
        <v>SPS1</v>
      </c>
      <c r="C1490" s="5" t="str">
        <f t="shared" ref="C1490" si="968">C1489</f>
        <v>CH</v>
      </c>
      <c r="D1490" t="s">
        <v>1478</v>
      </c>
      <c r="E1490" t="s">
        <v>8</v>
      </c>
      <c r="F1490" s="1" cm="1">
        <f t="array" ref="F1490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0" s="1" cm="1">
        <f t="array" ref="G1490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0" s="1" cm="1">
        <f t="array" ref="H1490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0" s="1" cm="1">
        <f t="array" ref="I1490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0" s="1" cm="1">
        <f t="array" ref="J1490">SUMPRODUCT(("T_TRM_ELC"=[1]OUT_TransportEnergyCons!$A$3:$A$1000)*1,("Var_Fin"=[1]OUT_TransportEnergyCons!$B$3:$B$1000)*1,ISNUMBER(SEARCH("ELC",[1]OUT_TransportEnergyCons!$C$3:$C$1000))*1,[1]OUT_TransportEnergyCons!H$3:H$1000)</f>
        <v>0.77325934733858914</v>
      </c>
      <c r="K1490" s="1" cm="1">
        <f t="array" ref="K1490">SUMPRODUCT(("T_TRM_ELC"=[1]OUT_TransportEnergyCons!$A$3:$A$1000)*1,("Var_Fin"=[1]OUT_TransportEnergyCons!$B$3:$B$1000)*1,ISNUMBER(SEARCH("ELC",[1]OUT_TransportEnergyCons!$C$3:$C$1000))*1,[1]OUT_TransportEnergyCons!I$3:I$1000)</f>
        <v>0.79899112903654423</v>
      </c>
    </row>
    <row r="1491" spans="2:11" x14ac:dyDescent="0.35">
      <c r="B1491" s="9" t="str">
        <f t="shared" ref="B1491:C1495" si="969">B1490</f>
        <v>SPS1</v>
      </c>
      <c r="C1491" s="9" t="str">
        <f t="shared" si="969"/>
        <v>CH</v>
      </c>
      <c r="D1491" s="2" t="s">
        <v>1483</v>
      </c>
      <c r="E1491" s="2" t="s">
        <v>1132</v>
      </c>
      <c r="F1491" s="3">
        <f>F1492</f>
        <v>3.3477999999999994E-2</v>
      </c>
      <c r="G1491" s="3">
        <f t="shared" ref="G1491" si="970">G1492</f>
        <v>3.4238693943285006E-2</v>
      </c>
      <c r="H1491" s="3">
        <f t="shared" ref="H1491" si="971">H1492</f>
        <v>3.5370833501607003E-2</v>
      </c>
      <c r="I1491" s="3">
        <f t="shared" ref="I1491" si="972">I1492</f>
        <v>3.726366700321395E-2</v>
      </c>
      <c r="J1491" s="3">
        <f t="shared" ref="J1491" si="973">J1492</f>
        <v>3.9048512196511807E-2</v>
      </c>
      <c r="K1491" s="3">
        <f t="shared" ref="K1491" si="974">K1492</f>
        <v>4.0347931071859175E-2</v>
      </c>
    </row>
    <row r="1492" spans="2:11" x14ac:dyDescent="0.35">
      <c r="B1492" s="5" t="str">
        <f t="shared" si="969"/>
        <v>SPS1</v>
      </c>
      <c r="C1492" s="5" t="str">
        <f t="shared" si="969"/>
        <v>CH</v>
      </c>
      <c r="D1492" t="s">
        <v>1484</v>
      </c>
      <c r="E1492" t="s">
        <v>1132</v>
      </c>
      <c r="F1492" s="1" cm="1">
        <f t="array" ref="F1492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2" s="1" cm="1">
        <f t="array" ref="G1492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2" s="1" cm="1">
        <f t="array" ref="H1492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2" s="1" cm="1">
        <f t="array" ref="I1492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2" s="1" cm="1">
        <f t="array" ref="J1492">SUMPRODUCT(("T_TRM_ELC"=[1]OUT_TransportEnergyCons!$A$3:$A$1000)*1,("Var_Fout"=[1]OUT_TransportEnergyCons!$B$3:$B$1000)*1,ISNUMBER(SEARCH("tptrm",[1]OUT_TransportEnergyCons!$C$3:$C$1000))*1,[1]OUT_TransportEnergyCons!H$3:H$1000)</f>
        <v>3.9048512196511807E-2</v>
      </c>
      <c r="K1492" s="1" cm="1">
        <f t="array" ref="K1492">SUMPRODUCT(("T_TRM_ELC"=[1]OUT_TransportEnergyCons!$A$3:$A$1000)*1,("Var_Fout"=[1]OUT_TransportEnergyCons!$B$3:$B$1000)*1,ISNUMBER(SEARCH("tptrm",[1]OUT_TransportEnergyCons!$C$3:$C$1000))*1,[1]OUT_TransportEnergyCons!I$3:I$1000)</f>
        <v>4.0347931071859175E-2</v>
      </c>
    </row>
    <row r="1493" spans="2:11" x14ac:dyDescent="0.35">
      <c r="B1493" s="9" t="str">
        <f t="shared" si="969"/>
        <v>SPS1</v>
      </c>
      <c r="C1493" s="9" t="str">
        <f t="shared" si="969"/>
        <v>CH</v>
      </c>
      <c r="D1493" s="2" t="s">
        <v>1485</v>
      </c>
      <c r="E1493" s="2" t="s">
        <v>1230</v>
      </c>
      <c r="F1493" s="1" t="s">
        <v>292</v>
      </c>
      <c r="G1493" s="1" t="s">
        <v>292</v>
      </c>
      <c r="H1493" s="1" t="s">
        <v>292</v>
      </c>
      <c r="I1493" s="1" t="s">
        <v>292</v>
      </c>
      <c r="J1493" s="1" t="s">
        <v>292</v>
      </c>
      <c r="K1493" s="1" t="s">
        <v>292</v>
      </c>
    </row>
    <row r="1494" spans="2:11" x14ac:dyDescent="0.35">
      <c r="B1494" s="5" t="str">
        <f t="shared" si="969"/>
        <v>SPS1</v>
      </c>
      <c r="C1494" s="5" t="str">
        <f t="shared" si="969"/>
        <v>CH</v>
      </c>
      <c r="D1494" t="s">
        <v>1486</v>
      </c>
      <c r="E1494" t="str">
        <f>E1493</f>
        <v>km/MJ</v>
      </c>
      <c r="F1494" s="1">
        <f>F1492/F1490</f>
        <v>5.6961631559156484E-2</v>
      </c>
      <c r="G1494" s="1">
        <f t="shared" ref="G1494:K1494" si="975">G1492/G1490</f>
        <v>5.5669024657354849E-2</v>
      </c>
      <c r="H1494" s="1">
        <f t="shared" si="975"/>
        <v>5.3730114304652132E-2</v>
      </c>
      <c r="I1494" s="1">
        <f t="shared" si="975"/>
        <v>5.049859705014785E-2</v>
      </c>
      <c r="J1494" s="1">
        <f t="shared" si="975"/>
        <v>5.0498597050147948E-2</v>
      </c>
      <c r="K1494" s="1">
        <f t="shared" si="975"/>
        <v>5.0498597050147906E-2</v>
      </c>
    </row>
    <row r="1495" spans="2:11" x14ac:dyDescent="0.35">
      <c r="B1495" s="9" t="str">
        <f t="shared" si="969"/>
        <v>SPS1</v>
      </c>
      <c r="C1495" s="9" t="str">
        <f t="shared" si="969"/>
        <v>CH</v>
      </c>
      <c r="D1495" s="2" t="s">
        <v>1488</v>
      </c>
      <c r="E1495" s="2" t="s">
        <v>8</v>
      </c>
      <c r="F1495" s="3">
        <f>SUM(F1496,F1501,F1506)</f>
        <v>2.4116404165322858</v>
      </c>
      <c r="G1495" s="3">
        <f t="shared" ref="G1495:K1495" si="976">SUM(G1496,G1501,G1506)</f>
        <v>2.1615946822050081</v>
      </c>
      <c r="H1495" s="3">
        <f t="shared" si="976"/>
        <v>1.8800927825800802</v>
      </c>
      <c r="I1495" s="3">
        <f t="shared" si="976"/>
        <v>1.4953814085245296</v>
      </c>
      <c r="J1495" s="3">
        <f t="shared" si="976"/>
        <v>1.0554971599502683</v>
      </c>
      <c r="K1495" s="3">
        <f t="shared" si="976"/>
        <v>0.34703080214937115</v>
      </c>
    </row>
    <row r="1496" spans="2:11" x14ac:dyDescent="0.35">
      <c r="B1496" s="5" t="str">
        <f>B1495</f>
        <v>SPS1</v>
      </c>
      <c r="C1496" t="str">
        <f t="shared" ref="C1496:C1500" si="977">C1495</f>
        <v>CH</v>
      </c>
      <c r="D1496" t="s">
        <v>1489</v>
      </c>
      <c r="E1496" t="str">
        <f>E1495</f>
        <v>PJ/yr.</v>
      </c>
      <c r="F1496" s="1">
        <f>SUM(F1497:F1500)</f>
        <v>2.0247390523454225E-3</v>
      </c>
      <c r="G1496" s="1">
        <f t="shared" ref="G1496:K1496" si="978">SUM(G1497:G1500)</f>
        <v>2.7680644425289716E-3</v>
      </c>
      <c r="H1496" s="1">
        <f t="shared" si="978"/>
        <v>2.8447995692281701E-3</v>
      </c>
      <c r="I1496" s="1">
        <f t="shared" si="978"/>
        <v>2.1263480812186461E-3</v>
      </c>
      <c r="J1496" s="1">
        <f t="shared" si="978"/>
        <v>7.4113777755631079E-4</v>
      </c>
      <c r="K1496" s="1">
        <f t="shared" si="978"/>
        <v>0.12126500147781982</v>
      </c>
    </row>
    <row r="1497" spans="2:11" x14ac:dyDescent="0.35">
      <c r="B1497" t="str">
        <f t="shared" ref="B1497:B1500" si="979">B1496</f>
        <v>SPS1</v>
      </c>
      <c r="C1497" t="str">
        <f t="shared" si="977"/>
        <v>CH</v>
      </c>
      <c r="D1497" t="s">
        <v>1490</v>
      </c>
      <c r="E1497" t="str">
        <f t="shared" ref="E1497:E1500" si="980">E1496</f>
        <v>PJ/yr.</v>
      </c>
      <c r="F1497" s="1" cm="1">
        <f t="array" ref="F1497">SUMPRODUCT(("T_TW-BEVELC-S1"=[1]OUT_TransportEnergyCons!$A$3:$A$1000)*1,("Var_Fin"=[1]OUT_TransportEnergyCons!$B$3:$B$1000)*1,ISNUMBER(SEARCH("ELC",[1]OUT_TransportEnergyCons!$C$3:$C$1000))*1,[1]OUT_TransportEnergyCons!D$3:D$1000)</f>
        <v>1.5575672313570437E-3</v>
      </c>
      <c r="G1497" s="1" cm="1">
        <f t="array" ref="G1497">SUMPRODUCT(("T_TW-BEVELC-S1"=[1]OUT_TransportEnergyCons!$A$3:$A$1000)*1,("Var_Fin"=[1]OUT_TransportEnergyCons!$B$3:$B$1000)*1,ISNUMBER(SEARCH("ELC",[1]OUT_TransportEnergyCons!$C$3:$C$1000))*1,[1]OUT_TransportEnergyCons!E$3:E$1000)</f>
        <v>2.1109369557114799E-3</v>
      </c>
      <c r="H1497" s="1" cm="1">
        <f t="array" ref="H1497">SUMPRODUCT(("T_TW-BEVELC-S1"=[1]OUT_TransportEnergyCons!$A$3:$A$1000)*1,("Var_Fin"=[1]OUT_TransportEnergyCons!$B$3:$B$1000)*1,ISNUMBER(SEARCH("ELC",[1]OUT_TransportEnergyCons!$C$3:$C$1000))*1,[1]OUT_TransportEnergyCons!F$3:F$1000)</f>
        <v>2.1370806958419019E-3</v>
      </c>
      <c r="I1497" s="1" cm="1">
        <f t="array" ref="I1497">SUMPRODUCT(("T_TW-BEVELC-S1"=[1]OUT_TransportEnergyCons!$A$3:$A$1000)*1,("Var_Fin"=[1]OUT_TransportEnergyCons!$B$3:$B$1000)*1,ISNUMBER(SEARCH("ELC",[1]OUT_TransportEnergyCons!$C$3:$C$1000))*1,[1]OUT_TransportEnergyCons!G$3:G$1000)</f>
        <v>1.4560791357580488E-3</v>
      </c>
      <c r="J1497" s="1" cm="1">
        <f t="array" ref="J1497">SUMPRODUCT(("T_TW-BEVELC-S1"=[1]OUT_TransportEnergyCons!$A$3:$A$1000)*1,("Var_Fin"=[1]OUT_TransportEnergyCons!$B$3:$B$1000)*1,ISNUMBER(SEARCH("ELC",[1]OUT_TransportEnergyCons!$C$3:$C$1000))*1,[1]OUT_TransportEnergyCons!H$3:H$1000)</f>
        <v>3.5559691804560749E-4</v>
      </c>
      <c r="K1497" s="1" cm="1">
        <f t="array" ref="K1497">SUMPRODUCT(("T_TW-BEVELC-S1"=[1]OUT_TransportEnergyCons!$A$3:$A$1000)*1,("Var_Fin"=[1]OUT_TransportEnergyCons!$B$3:$B$1000)*1,ISNUMBER(SEARCH("ELC",[1]OUT_TransportEnergyCons!$C$3:$C$1000))*1,[1]OUT_TransportEnergyCons!I$3:I$1000)</f>
        <v>0.12103882252875489</v>
      </c>
    </row>
    <row r="1498" spans="2:11" x14ac:dyDescent="0.35">
      <c r="B1498" t="str">
        <f t="shared" si="979"/>
        <v>SPS1</v>
      </c>
      <c r="C1498" t="str">
        <f t="shared" si="977"/>
        <v>CH</v>
      </c>
      <c r="D1498" t="s">
        <v>1491</v>
      </c>
      <c r="E1498" t="str">
        <f t="shared" si="980"/>
        <v>PJ/yr.</v>
      </c>
      <c r="F1498" s="1" cm="1">
        <f t="array" ref="F1498">SUMPRODUCT(("T_TW-BEVELC-S2"=[1]OUT_TransportEnergyCons!$A$3:$A$1000)*1,("Var_Fin"=[1]OUT_TransportEnergyCons!$B$3:$B$1000)*1,ISNUMBER(SEARCH("ELC",[1]OUT_TransportEnergyCons!$C$3:$C$1000))*1,[1]OUT_TransportEnergyCons!D$3:D$1000)</f>
        <v>3.5492525260502725E-4</v>
      </c>
      <c r="G1498" s="1" cm="1">
        <f t="array" ref="G1498">SUMPRODUCT(("T_TW-BEVELC-S2"=[1]OUT_TransportEnergyCons!$A$3:$A$1000)*1,("Var_Fin"=[1]OUT_TransportEnergyCons!$B$3:$B$1000)*1,ISNUMBER(SEARCH("ELC",[1]OUT_TransportEnergyCons!$C$3:$C$1000))*1,[1]OUT_TransportEnergyCons!E$3:E$1000)</f>
        <v>4.4632036344550427E-4</v>
      </c>
      <c r="H1498" s="1" cm="1">
        <f t="array" ref="H1498">SUMPRODUCT(("T_TW-BEVELC-S2"=[1]OUT_TransportEnergyCons!$A$3:$A$1000)*1,("Var_Fin"=[1]OUT_TransportEnergyCons!$B$3:$B$1000)*1,ISNUMBER(SEARCH("ELC",[1]OUT_TransportEnergyCons!$C$3:$C$1000))*1,[1]OUT_TransportEnergyCons!F$3:F$1000)</f>
        <v>4.6067495272873569E-4</v>
      </c>
      <c r="I1498" s="1" cm="1">
        <f t="array" ref="I1498">SUMPRODUCT(("T_TW-BEVELC-S2"=[1]OUT_TransportEnergyCons!$A$3:$A$1000)*1,("Var_Fin"=[1]OUT_TransportEnergyCons!$B$3:$B$1000)*1,ISNUMBER(SEARCH("ELC",[1]OUT_TransportEnergyCons!$C$3:$C$1000))*1,[1]OUT_TransportEnergyCons!G$3:G$1000)</f>
        <v>3.9716441796528058E-4</v>
      </c>
      <c r="J1498" s="1" cm="1">
        <f t="array" ref="J1498">SUMPRODUCT(("T_TW-BEVELC-S2"=[1]OUT_TransportEnergyCons!$A$3:$A$1000)*1,("Var_Fin"=[1]OUT_TransportEnergyCons!$B$3:$B$1000)*1,ISNUMBER(SEARCH("ELC",[1]OUT_TransportEnergyCons!$C$3:$C$1000))*1,[1]OUT_TransportEnergyCons!H$3:H$1000)</f>
        <v>1.0451665999272085E-4</v>
      </c>
      <c r="K1498" s="1" cm="1">
        <f t="array" ref="K1498">SUMPRODUCT(("T_TW-BEVELC-S2"=[1]OUT_TransportEnergyCons!$A$3:$A$1000)*1,("Var_Fin"=[1]OUT_TransportEnergyCons!$B$3:$B$1000)*1,ISNUMBER(SEARCH("ELC",[1]OUT_TransportEnergyCons!$C$3:$C$1000))*1,[1]OUT_TransportEnergyCons!I$3:I$1000)</f>
        <v>7.2373674722472399E-5</v>
      </c>
    </row>
    <row r="1499" spans="2:11" x14ac:dyDescent="0.35">
      <c r="B1499" t="str">
        <f t="shared" si="979"/>
        <v>SPS1</v>
      </c>
      <c r="C1499" t="str">
        <f t="shared" si="977"/>
        <v>CH</v>
      </c>
      <c r="D1499" t="s">
        <v>1493</v>
      </c>
      <c r="E1499" t="str">
        <f t="shared" si="980"/>
        <v>PJ/yr.</v>
      </c>
      <c r="F1499" s="1" cm="1">
        <f t="array" ref="F1499">SUMPRODUCT(("T_TW-BEVELC-S3"=[1]OUT_TransportEnergyCons!$A$3:$A$1000)*1,("Var_Fin"=[1]OUT_TransportEnergyCons!$B$3:$B$1000)*1,ISNUMBER(SEARCH("ELC",[1]OUT_TransportEnergyCons!$C$3:$C$1000))*1,[1]OUT_TransportEnergyCons!D$3:D$1000)</f>
        <v>7.8374735178523045E-5</v>
      </c>
      <c r="G1499" s="1" cm="1">
        <f t="array" ref="G1499">SUMPRODUCT(("T_TW-BEVELC-S3"=[1]OUT_TransportEnergyCons!$A$3:$A$1000)*1,("Var_Fin"=[1]OUT_TransportEnergyCons!$B$3:$B$1000)*1,ISNUMBER(SEARCH("ELC",[1]OUT_TransportEnergyCons!$C$3:$C$1000))*1,[1]OUT_TransportEnergyCons!E$3:E$1000)</f>
        <v>1.4054115400600562E-4</v>
      </c>
      <c r="H1499" s="1" cm="1">
        <f t="array" ref="H1499">SUMPRODUCT(("T_TW-BEVELC-S3"=[1]OUT_TransportEnergyCons!$A$3:$A$1000)*1,("Var_Fin"=[1]OUT_TransportEnergyCons!$B$3:$B$1000)*1,ISNUMBER(SEARCH("ELC",[1]OUT_TransportEnergyCons!$C$3:$C$1000))*1,[1]OUT_TransportEnergyCons!F$3:F$1000)</f>
        <v>1.5479655351781241E-4</v>
      </c>
      <c r="I1499" s="1" cm="1">
        <f t="array" ref="I1499">SUMPRODUCT(("T_TW-BEVELC-S3"=[1]OUT_TransportEnergyCons!$A$3:$A$1000)*1,("Var_Fin"=[1]OUT_TransportEnergyCons!$B$3:$B$1000)*1,ISNUMBER(SEARCH("ELC",[1]OUT_TransportEnergyCons!$C$3:$C$1000))*1,[1]OUT_TransportEnergyCons!G$3:G$1000)</f>
        <v>1.6644813849371146E-4</v>
      </c>
      <c r="J1499" s="1" cm="1">
        <f t="array" ref="J1499">SUMPRODUCT(("T_TW-BEVELC-S3"=[1]OUT_TransportEnergyCons!$A$3:$A$1000)*1,("Var_Fin"=[1]OUT_TransportEnergyCons!$B$3:$B$1000)*1,ISNUMBER(SEARCH("ELC",[1]OUT_TransportEnergyCons!$C$3:$C$1000))*1,[1]OUT_TransportEnergyCons!H$3:H$1000)</f>
        <v>1.2643275245151426E-4</v>
      </c>
      <c r="K1499" s="1" cm="1">
        <f t="array" ref="K1499">SUMPRODUCT(("T_TW-BEVELC-S3"=[1]OUT_TransportEnergyCons!$A$3:$A$1000)*1,("Var_Fin"=[1]OUT_TransportEnergyCons!$B$3:$B$1000)*1,ISNUMBER(SEARCH("ELC",[1]OUT_TransportEnergyCons!$C$3:$C$1000))*1,[1]OUT_TransportEnergyCons!I$3:I$1000)</f>
        <v>5.8435321665638792E-5</v>
      </c>
    </row>
    <row r="1500" spans="2:11" x14ac:dyDescent="0.35">
      <c r="B1500" t="str">
        <f t="shared" si="979"/>
        <v>SPS1</v>
      </c>
      <c r="C1500" t="str">
        <f t="shared" si="977"/>
        <v>CH</v>
      </c>
      <c r="D1500" t="s">
        <v>1492</v>
      </c>
      <c r="E1500" t="str">
        <f t="shared" si="980"/>
        <v>PJ/yr.</v>
      </c>
      <c r="F1500" s="1" cm="1">
        <f t="array" ref="F1500">SUMPRODUCT(("T_TW-BEVELC-S4"=[1]OUT_TransportEnergyCons!$A$3:$A$1000)*1,("Var_Fin"=[1]OUT_TransportEnergyCons!$B$3:$B$1000)*1,ISNUMBER(SEARCH("ELC",[1]OUT_TransportEnergyCons!$C$3:$C$1000))*1,[1]OUT_TransportEnergyCons!D$3:D$1000)</f>
        <v>3.3871833204828396E-5</v>
      </c>
      <c r="G1500" s="1" cm="1">
        <f t="array" ref="G1500">SUMPRODUCT(("T_TW-BEVELC-S4"=[1]OUT_TransportEnergyCons!$A$3:$A$1000)*1,("Var_Fin"=[1]OUT_TransportEnergyCons!$B$3:$B$1000)*1,ISNUMBER(SEARCH("ELC",[1]OUT_TransportEnergyCons!$C$3:$C$1000))*1,[1]OUT_TransportEnergyCons!E$3:E$1000)</f>
        <v>7.0265969365981981E-5</v>
      </c>
      <c r="H1500" s="1" cm="1">
        <f t="array" ref="H1500">SUMPRODUCT(("T_TW-BEVELC-S4"=[1]OUT_TransportEnergyCons!$A$3:$A$1000)*1,("Var_Fin"=[1]OUT_TransportEnergyCons!$B$3:$B$1000)*1,ISNUMBER(SEARCH("ELC",[1]OUT_TransportEnergyCons!$C$3:$C$1000))*1,[1]OUT_TransportEnergyCons!F$3:F$1000)</f>
        <v>9.2247367139720101E-5</v>
      </c>
      <c r="I1500" s="1" cm="1">
        <f t="array" ref="I1500">SUMPRODUCT(("T_TW-BEVELC-S4"=[1]OUT_TransportEnergyCons!$A$3:$A$1000)*1,("Var_Fin"=[1]OUT_TransportEnergyCons!$B$3:$B$1000)*1,ISNUMBER(SEARCH("ELC",[1]OUT_TransportEnergyCons!$C$3:$C$1000))*1,[1]OUT_TransportEnergyCons!G$3:G$1000)</f>
        <v>1.0665638900160547E-4</v>
      </c>
      <c r="J1500" s="1" cm="1">
        <f t="array" ref="J1500">SUMPRODUCT(("T_TW-BEVELC-S4"=[1]OUT_TransportEnergyCons!$A$3:$A$1000)*1,("Var_Fin"=[1]OUT_TransportEnergyCons!$B$3:$B$1000)*1,ISNUMBER(SEARCH("ELC",[1]OUT_TransportEnergyCons!$C$3:$C$1000))*1,[1]OUT_TransportEnergyCons!H$3:H$1000)</f>
        <v>1.5459144706646822E-4</v>
      </c>
      <c r="K1500" s="1" cm="1">
        <f t="array" ref="K1500">SUMPRODUCT(("T_TW-BEVELC-S4"=[1]OUT_TransportEnergyCons!$A$3:$A$1000)*1,("Var_Fin"=[1]OUT_TransportEnergyCons!$B$3:$B$1000)*1,ISNUMBER(SEARCH("ELC",[1]OUT_TransportEnergyCons!$C$3:$C$1000))*1,[1]OUT_TransportEnergyCons!I$3:I$1000)</f>
        <v>9.5369952676830518E-5</v>
      </c>
    </row>
    <row r="1501" spans="2:11" x14ac:dyDescent="0.35">
      <c r="B1501" s="5" t="str">
        <f>B1500</f>
        <v>SPS1</v>
      </c>
      <c r="C1501" t="str">
        <f t="shared" ref="C1501:C1505" si="981">C1500</f>
        <v>CH</v>
      </c>
      <c r="D1501" t="s">
        <v>1494</v>
      </c>
      <c r="E1501" t="str">
        <f>E1500</f>
        <v>PJ/yr.</v>
      </c>
      <c r="F1501" s="1">
        <f>SUM(F1502:F1505)</f>
        <v>0</v>
      </c>
      <c r="G1501" s="1">
        <f t="shared" ref="G1501:K1501" si="982">SUM(G1502:G1505)</f>
        <v>0</v>
      </c>
      <c r="H1501" s="1">
        <f t="shared" si="982"/>
        <v>0</v>
      </c>
      <c r="I1501" s="1">
        <f t="shared" si="982"/>
        <v>5.8832506615514976E-5</v>
      </c>
      <c r="J1501" s="1">
        <f t="shared" si="982"/>
        <v>2.1335793263940311E-4</v>
      </c>
      <c r="K1501" s="1">
        <f t="shared" si="982"/>
        <v>1.9335821558476808E-4</v>
      </c>
    </row>
    <row r="1502" spans="2:11" x14ac:dyDescent="0.35">
      <c r="B1502" t="str">
        <f t="shared" ref="B1502:B1505" si="983">B1501</f>
        <v>SPS1</v>
      </c>
      <c r="C1502" t="str">
        <f t="shared" si="981"/>
        <v>CH</v>
      </c>
      <c r="D1502" t="s">
        <v>1495</v>
      </c>
      <c r="E1502" t="str">
        <f t="shared" ref="E1502:E1505" si="984">E1501</f>
        <v>PJ/yr.</v>
      </c>
      <c r="F1502" s="1" cm="1">
        <f t="array" ref="F1502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2" s="1" cm="1">
        <f t="array" ref="G1502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2" s="1" cm="1">
        <f t="array" ref="H1502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2" s="1" cm="1">
        <f t="array" ref="I1502">SUMPRODUCT(("T_TW-fclh2o-S1"=[1]OUT_TransportEnergyCons!$A$3:$A$1000)*1,("Var_Fin"=[1]OUT_TransportEnergyCons!$B$3:$B$1000)*1,ISNUMBER(SEARCH("h2",[1]OUT_TransportEnergyCons!$C$3:$C$1000))*1,[1]OUT_TransportEnergyCons!G$3:G$1000)</f>
        <v>1.8691976957677186E-5</v>
      </c>
      <c r="J1502" s="1" cm="1">
        <f t="array" ref="J1502">SUMPRODUCT(("T_TW-fclh2o-S1"=[1]OUT_TransportEnergyCons!$A$3:$A$1000)*1,("Var_Fin"=[1]OUT_TransportEnergyCons!$B$3:$B$1000)*1,ISNUMBER(SEARCH("h2",[1]OUT_TransportEnergyCons!$C$3:$C$1000))*1,[1]OUT_TransportEnergyCons!H$3:H$1000)</f>
        <v>7.6971939377168302E-5</v>
      </c>
      <c r="K1502" s="1" cm="1">
        <f t="array" ref="K1502">SUMPRODUCT(("T_TW-fclh2o-S1"=[1]OUT_TransportEnergyCons!$A$3:$A$1000)*1,("Var_Fin"=[1]OUT_TransportEnergyCons!$B$3:$B$1000)*1,ISNUMBER(SEARCH("h2",[1]OUT_TransportEnergyCons!$C$3:$C$1000))*1,[1]OUT_TransportEnergyCons!I$3:I$1000)</f>
        <v>6.6161637940535391E-5</v>
      </c>
    </row>
    <row r="1503" spans="2:11" x14ac:dyDescent="0.35">
      <c r="B1503" t="str">
        <f t="shared" si="983"/>
        <v>SPS1</v>
      </c>
      <c r="C1503" t="str">
        <f t="shared" si="981"/>
        <v>CH</v>
      </c>
      <c r="D1503" t="s">
        <v>1496</v>
      </c>
      <c r="E1503" t="str">
        <f t="shared" si="984"/>
        <v>PJ/yr.</v>
      </c>
      <c r="F1503" s="1" cm="1">
        <f t="array" ref="F1503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3" s="1" cm="1">
        <f t="array" ref="G1503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3" s="1" cm="1">
        <f t="array" ref="H1503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3" s="1" cm="1">
        <f t="array" ref="I1503">SUMPRODUCT(("T_TW-fclh2o-S2"=[1]OUT_TransportEnergyCons!$A$3:$A$1000)*1,("Var_Fin"=[1]OUT_TransportEnergyCons!$B$3:$B$1000)*1,ISNUMBER(SEARCH("h2",[1]OUT_TransportEnergyCons!$C$3:$C$1000))*1,[1]OUT_TransportEnergyCons!G$3:G$1000)</f>
        <v>1.6939178009531369E-5</v>
      </c>
      <c r="J1503" s="1" cm="1">
        <f t="array" ref="J1503">SUMPRODUCT(("T_TW-fclh2o-S2"=[1]OUT_TransportEnergyCons!$A$3:$A$1000)*1,("Var_Fin"=[1]OUT_TransportEnergyCons!$B$3:$B$1000)*1,ISNUMBER(SEARCH("h2",[1]OUT_TransportEnergyCons!$C$3:$C$1000))*1,[1]OUT_TransportEnergyCons!H$3:H$1000)</f>
        <v>6.0219467010783663E-5</v>
      </c>
      <c r="K1503" s="1" cm="1">
        <f t="array" ref="K1503">SUMPRODUCT(("T_TW-fclh2o-S2"=[1]OUT_TransportEnergyCons!$A$3:$A$1000)*1,("Var_Fin"=[1]OUT_TransportEnergyCons!$B$3:$B$1000)*1,ISNUMBER(SEARCH("h2",[1]OUT_TransportEnergyCons!$C$3:$C$1000))*1,[1]OUT_TransportEnergyCons!I$3:I$1000)</f>
        <v>4.5434882894643278E-5</v>
      </c>
    </row>
    <row r="1504" spans="2:11" x14ac:dyDescent="0.35">
      <c r="B1504" t="str">
        <f t="shared" si="983"/>
        <v>SPS1</v>
      </c>
      <c r="C1504" t="str">
        <f t="shared" si="981"/>
        <v>CH</v>
      </c>
      <c r="D1504" t="s">
        <v>1497</v>
      </c>
      <c r="E1504" t="str">
        <f t="shared" si="984"/>
        <v>PJ/yr.</v>
      </c>
      <c r="F1504" s="1" cm="1">
        <f t="array" ref="F1504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SUMPRODUCT(("T_TW-fclh2o-S3"=[1]OUT_TransportEnergyCons!$A$3:$A$1000)*1,("Var_Fin"=[1]OUT_TransportEnergyCons!$B$3:$B$1000)*1,ISNUMBER(SEARCH("h2",[1]OUT_TransportEnergyCons!$C$3:$C$1000))*1,[1]OUT_TransportEnergyCons!G$3:G$1000)</f>
        <v>1.4967537496505025E-5</v>
      </c>
      <c r="J1504" s="1" cm="1">
        <f t="array" ref="J1504">SUMPRODUCT(("T_TW-fclh2o-S3"=[1]OUT_TransportEnergyCons!$A$3:$A$1000)*1,("Var_Fin"=[1]OUT_TransportEnergyCons!$B$3:$B$1000)*1,ISNUMBER(SEARCH("h2",[1]OUT_TransportEnergyCons!$C$3:$C$1000))*1,[1]OUT_TransportEnergyCons!H$3:H$1000)</f>
        <v>4.8262329300940086E-5</v>
      </c>
      <c r="K1504" s="1" cm="1">
        <f t="array" ref="K1504">SUMPRODUCT(("T_TW-fclh2o-S3"=[1]OUT_TransportEnergyCons!$A$3:$A$1000)*1,("Var_Fin"=[1]OUT_TransportEnergyCons!$B$3:$B$1000)*1,ISNUMBER(SEARCH("h2",[1]OUT_TransportEnergyCons!$C$3:$C$1000))*1,[1]OUT_TransportEnergyCons!I$3:I$1000)</f>
        <v>4.8137372562243931E-5</v>
      </c>
    </row>
    <row r="1505" spans="2:11" x14ac:dyDescent="0.35">
      <c r="B1505" t="str">
        <f t="shared" si="983"/>
        <v>SPS1</v>
      </c>
      <c r="C1505" t="str">
        <f t="shared" si="981"/>
        <v>CH</v>
      </c>
      <c r="D1505" t="s">
        <v>1498</v>
      </c>
      <c r="E1505" t="str">
        <f t="shared" si="984"/>
        <v>PJ/yr.</v>
      </c>
      <c r="F1505" s="1" cm="1">
        <f t="array" ref="F1505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SUMPRODUCT(("T_TW-fclh2o-S4"=[1]OUT_TransportEnergyCons!$A$3:$A$1000)*1,("Var_Fin"=[1]OUT_TransportEnergyCons!$B$3:$B$1000)*1,ISNUMBER(SEARCH("h2",[1]OUT_TransportEnergyCons!$C$3:$C$1000))*1,[1]OUT_TransportEnergyCons!G$3:G$1000)</f>
        <v>8.2338141518014016E-6</v>
      </c>
      <c r="J1505" s="1" cm="1">
        <f t="array" ref="J1505">SUMPRODUCT(("T_TW-fclh2o-S4"=[1]OUT_TransportEnergyCons!$A$3:$A$1000)*1,("Var_Fin"=[1]OUT_TransportEnergyCons!$B$3:$B$1000)*1,ISNUMBER(SEARCH("h2",[1]OUT_TransportEnergyCons!$C$3:$C$1000))*1,[1]OUT_TransportEnergyCons!H$3:H$1000)</f>
        <v>2.7904196950511068E-5</v>
      </c>
      <c r="K1505" s="1" cm="1">
        <f t="array" ref="K1505">SUMPRODUCT(("T_TW-fclh2o-S4"=[1]OUT_TransportEnergyCons!$A$3:$A$1000)*1,("Var_Fin"=[1]OUT_TransportEnergyCons!$B$3:$B$1000)*1,ISNUMBER(SEARCH("h2",[1]OUT_TransportEnergyCons!$C$3:$C$1000))*1,[1]OUT_TransportEnergyCons!I$3:I$1000)</f>
        <v>3.362432218734549E-5</v>
      </c>
    </row>
    <row r="1506" spans="2:11" x14ac:dyDescent="0.35">
      <c r="B1506" s="5" t="str">
        <f>B1505</f>
        <v>SPS1</v>
      </c>
      <c r="C1506" t="str">
        <f t="shared" ref="C1506:C1516" si="985">C1505</f>
        <v>CH</v>
      </c>
      <c r="D1506" t="s">
        <v>1499</v>
      </c>
      <c r="E1506" t="str">
        <f>E1505</f>
        <v>PJ/yr.</v>
      </c>
      <c r="F1506" s="1">
        <f>SUM(F1511:F1515)</f>
        <v>2.4096156774799402</v>
      </c>
      <c r="G1506" s="1">
        <f t="shared" ref="G1506:K1506" si="986">SUM(G1511:G1515)</f>
        <v>2.1588266177624793</v>
      </c>
      <c r="H1506" s="1">
        <f t="shared" si="986"/>
        <v>1.8772479830108519</v>
      </c>
      <c r="I1506" s="1">
        <f t="shared" si="986"/>
        <v>1.4931962279366955</v>
      </c>
      <c r="J1506" s="1">
        <f t="shared" si="986"/>
        <v>1.0545426642400726</v>
      </c>
      <c r="K1506" s="1">
        <f t="shared" si="986"/>
        <v>0.22557244245596655</v>
      </c>
    </row>
    <row r="1507" spans="2:11" x14ac:dyDescent="0.35">
      <c r="B1507" s="5" t="str">
        <f>B1506</f>
        <v>SPS1</v>
      </c>
      <c r="C1507" s="5" t="str">
        <f>C1506</f>
        <v>CH</v>
      </c>
      <c r="D1507" t="s">
        <v>1500</v>
      </c>
      <c r="E1507" t="str">
        <f>E1506</f>
        <v>PJ/yr.</v>
      </c>
      <c r="F1507" s="1">
        <f>F1506-F1508</f>
        <v>2.2777116507841555</v>
      </c>
      <c r="G1507" s="1">
        <f t="shared" ref="G1507:K1507" si="987">G1506-G1508</f>
        <v>2.0406471887786579</v>
      </c>
      <c r="H1507" s="1">
        <f t="shared" si="987"/>
        <v>1.7744864616035374</v>
      </c>
      <c r="I1507" s="1">
        <f t="shared" si="987"/>
        <v>1.4114139734205708</v>
      </c>
      <c r="J1507" s="1">
        <f t="shared" si="987"/>
        <v>0.65057253105309465</v>
      </c>
      <c r="K1507" s="1">
        <f t="shared" si="987"/>
        <v>-5.0488505915965987E-4</v>
      </c>
    </row>
    <row r="1508" spans="2:11" x14ac:dyDescent="0.35">
      <c r="B1508" s="5" t="str">
        <f t="shared" ref="B1508:B1510" si="988">B1507</f>
        <v>SPS1</v>
      </c>
      <c r="C1508" s="5" t="str">
        <f t="shared" ref="C1508:C1510" si="989">C1507</f>
        <v>CH</v>
      </c>
      <c r="D1508" t="s">
        <v>1501</v>
      </c>
      <c r="E1508" t="str">
        <f>E1507</f>
        <v>PJ/yr.</v>
      </c>
      <c r="F1508" s="1">
        <f>SUM(F1509:F1510)</f>
        <v>0.13190402669578469</v>
      </c>
      <c r="G1508" s="1">
        <f t="shared" ref="G1508" si="990">SUM(G1509:G1510)</f>
        <v>0.11817942898382158</v>
      </c>
      <c r="H1508" s="1">
        <f t="shared" ref="H1508" si="991">SUM(H1509:H1510)</f>
        <v>0.10276152140731457</v>
      </c>
      <c r="I1508" s="1">
        <f t="shared" ref="I1508" si="992">SUM(I1509:I1510)</f>
        <v>8.1782254516124697E-2</v>
      </c>
      <c r="J1508" s="1">
        <f t="shared" ref="J1508" si="993">SUM(J1509:J1510)</f>
        <v>0.40397013318697794</v>
      </c>
      <c r="K1508" s="1">
        <f t="shared" ref="K1508" si="994">SUM(K1509:K1510)</f>
        <v>0.22607732751512621</v>
      </c>
    </row>
    <row r="1509" spans="2:11" x14ac:dyDescent="0.35">
      <c r="B1509" s="5" t="str">
        <f t="shared" si="988"/>
        <v>SPS1</v>
      </c>
      <c r="C1509" s="5" t="str">
        <f t="shared" si="989"/>
        <v>CH</v>
      </c>
      <c r="D1509" t="s">
        <v>1502</v>
      </c>
      <c r="E1509" t="str">
        <f>E1508</f>
        <v>PJ/yr.</v>
      </c>
      <c r="F1509" s="1">
        <f>[1]Transport!B$25/SUM([1]Transport!B$21,[1]Transport!B$25)*F1506*(F$34+F$598)/(F$34+F$598+F$37)</f>
        <v>0.13190402669578469</v>
      </c>
      <c r="G1509" s="1">
        <f>[1]Transport!C$25/SUM([1]Transport!C$21,[1]Transport!C$25)*G1506*(G$34+G$598)/(G$34+G$598+G$37)</f>
        <v>0.11817942898382158</v>
      </c>
      <c r="H1509" s="1">
        <f>[1]Transport!D$25/SUM([1]Transport!D$21,[1]Transport!D$25)*H1506*(H$34+H$598)/(H$34+H$598+H$37)</f>
        <v>0.10276152140731457</v>
      </c>
      <c r="I1509" s="1">
        <f>[1]Transport!E$25/SUM([1]Transport!E$21,[1]Transport!E$25)*I1506*(I$34+I$598)/(I$34+I$598+I$37)</f>
        <v>8.1782254516124697E-2</v>
      </c>
      <c r="J1509" s="1">
        <f>[1]Transport!F$25/SUM([1]Transport!F$21,[1]Transport!F$25)*J1506*(J$34+J$598)/(J$34+J$598+J$37)</f>
        <v>0.39480994580108819</v>
      </c>
      <c r="K1509" s="1">
        <f>[1]Transport!G$25/SUM([1]Transport!G$21,[1]Transport!G$25)*K1506*(K$34+K$598)/(K$34+K$598+K$37)</f>
        <v>0.19173119883925863</v>
      </c>
    </row>
    <row r="1510" spans="2:11" x14ac:dyDescent="0.35">
      <c r="B1510" s="5" t="str">
        <f t="shared" si="988"/>
        <v>SPS1</v>
      </c>
      <c r="C1510" s="5" t="str">
        <f t="shared" si="989"/>
        <v>CH</v>
      </c>
      <c r="D1510" t="s">
        <v>1503</v>
      </c>
      <c r="E1510" t="str">
        <f>E1509</f>
        <v>PJ/yr.</v>
      </c>
      <c r="F1510" s="1">
        <f>(F$37+F$717)/([1]Transport!B$21+[1]Transport!B$25)*F1506</f>
        <v>0</v>
      </c>
      <c r="G1510" s="1">
        <f>(G$37+G$717)/([1]Transport!C$21+[1]Transport!C$25)*G1506</f>
        <v>0</v>
      </c>
      <c r="H1510" s="1">
        <f>(H$37+H$717)/([1]Transport!D$21+[1]Transport!D$25)*H1506</f>
        <v>0</v>
      </c>
      <c r="I1510" s="1">
        <f>(I$37+I$717)/([1]Transport!E$21+[1]Transport!E$25)*I1506</f>
        <v>0</v>
      </c>
      <c r="J1510" s="1">
        <f>(J$37+J$717)/([1]Transport!F$21+[1]Transport!F$25)*J1506</f>
        <v>9.1601873858897578E-3</v>
      </c>
      <c r="K1510" s="1">
        <f>(K$37+K$717)/([1]Transport!G$21+[1]Transport!G$25)*K1506</f>
        <v>3.4346128675867595E-2</v>
      </c>
    </row>
    <row r="1511" spans="2:11" x14ac:dyDescent="0.35">
      <c r="B1511" t="str">
        <f>B1505</f>
        <v>SPS1</v>
      </c>
      <c r="C1511" t="str">
        <f>C1505</f>
        <v>CH</v>
      </c>
      <c r="D1511" t="s">
        <v>1578</v>
      </c>
      <c r="E1511" t="str">
        <f>E1505</f>
        <v>PJ/yr.</v>
      </c>
      <c r="F1511" s="1" cm="1">
        <f t="array" ref="F1511">SUMPRODUCT(("T_TW-ICEGSLEXT"=[1]OUT_TransportEnergyCons!$A$3:$A$1000)*1,("Var_Fin"=[1]OUT_TransportEnergyCons!$B$3:$B$1000)*1,ISNUMBER(SEARCH("gsl",[1]OUT_TransportEnergyCons!$C$3:$C$1000))*1,[1]OUT_TransportEnergyCons!D$3:D$1000)</f>
        <v>1.9891868731327116</v>
      </c>
      <c r="G1511" s="1" cm="1">
        <f t="array" ref="G1511">SUMPRODUCT(("T_TW-ICEGSLEXT"=[1]OUT_TransportEnergyCons!$A$3:$A$1000)*1,("Var_Fin"=[1]OUT_TransportEnergyCons!$B$3:$B$1000)*1,ISNUMBER(SEARCH("gsl",[1]OUT_TransportEnergyCons!$C$3:$C$1000))*1,[1]OUT_TransportEnergyCons!E$3:E$1000)</f>
        <v>1.4978870474467925</v>
      </c>
      <c r="H1511" s="1" cm="1">
        <f t="array" ref="H1511">SUMPRODUCT(("T_TW-ICEGSLEXT"=[1]OUT_TransportEnergyCons!$A$3:$A$1000)*1,("Var_Fin"=[1]OUT_TransportEnergyCons!$B$3:$B$1000)*1,ISNUMBER(SEARCH("gsl",[1]OUT_TransportEnergyCons!$C$3:$C$1000))*1,[1]OUT_TransportEnergyCons!F$3:F$1000)</f>
        <v>1.0409277270411035</v>
      </c>
      <c r="I1511" s="1" cm="1">
        <f t="array" ref="I1511">SUMPRODUCT(("T_TW-ICEGSLEXT"=[1]OUT_TransportEnergyCons!$A$3:$A$1000)*1,("Var_Fin"=[1]OUT_TransportEnergyCons!$B$3:$B$1000)*1,ISNUMBER(SEARCH("gsl",[1]OUT_TransportEnergyCons!$C$3:$C$1000))*1,[1]OUT_TransportEnergyCons!G$3:G$1000)</f>
        <v>0.45309253504151054</v>
      </c>
      <c r="J1511" s="1" cm="1">
        <f t="array" ref="J1511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1" s="1" cm="1">
        <f t="array" ref="K1511">SUMPRODUCT(("T_TW-ICEGSLEXT"=[1]OUT_TransportEnergyCons!$A$3:$A$1000)*1,("Var_Fin"=[1]OUT_TransportEnergyCons!$B$3:$B$1000)*1,ISNUMBER(SEARCH("gsl",[1]OUT_TransportEnergyCons!$C$3:$C$1000))*1,[1]OUT_TransportEnergyCons!I$3:I$1000)</f>
        <v>0</v>
      </c>
    </row>
    <row r="1512" spans="2:11" x14ac:dyDescent="0.35">
      <c r="B1512" t="str">
        <f>B1506</f>
        <v>SPS1</v>
      </c>
      <c r="C1512" t="str">
        <f>C1506</f>
        <v>CH</v>
      </c>
      <c r="D1512" t="s">
        <v>1579</v>
      </c>
      <c r="E1512" t="str">
        <f>E1506</f>
        <v>PJ/yr.</v>
      </c>
      <c r="F1512" s="1" cm="1">
        <f t="array" ref="F1512">SUMPRODUCT(("T_TW-icegsl-S1"=[1]OUT_TransportEnergyCons!$A$3:$A$1000)*1,("Var_Fin"=[1]OUT_TransportEnergyCons!$B$3:$B$1000)*1,ISNUMBER(SEARCH("gsl",[1]OUT_TransportEnergyCons!$C$3:$C$1000))*1,[1]OUT_TransportEnergyCons!D$3:D$1000)</f>
        <v>4.4288045909315163E-2</v>
      </c>
      <c r="G1512" s="1" cm="1">
        <f t="array" ref="G1512">SUMPRODUCT(("T_TW-icegsl-S1"=[1]OUT_TransportEnergyCons!$A$3:$A$1000)*1,("Var_Fin"=[1]OUT_TransportEnergyCons!$B$3:$B$1000)*1,ISNUMBER(SEARCH("gsl",[1]OUT_TransportEnergyCons!$C$3:$C$1000))*1,[1]OUT_TransportEnergyCons!E$3:E$1000)</f>
        <v>0.17494284258458814</v>
      </c>
      <c r="H1512" s="1" cm="1">
        <f t="array" ref="H1512">SUMPRODUCT(("T_TW-icegsl-S1"=[1]OUT_TransportEnergyCons!$A$3:$A$1000)*1,("Var_Fin"=[1]OUT_TransportEnergyCons!$B$3:$B$1000)*1,ISNUMBER(SEARCH("gsl",[1]OUT_TransportEnergyCons!$C$3:$C$1000))*1,[1]OUT_TransportEnergyCons!F$3:F$1000)</f>
        <v>0.3468064516797037</v>
      </c>
      <c r="I1512" s="1" cm="1">
        <f t="array" ref="I1512">SUMPRODUCT(("T_TW-icegsl-S1"=[1]OUT_TransportEnergyCons!$A$3:$A$1000)*1,("Var_Fin"=[1]OUT_TransportEnergyCons!$B$3:$B$1000)*1,ISNUMBER(SEARCH("gsl",[1]OUT_TransportEnergyCons!$C$3:$C$1000))*1,[1]OUT_TransportEnergyCons!G$3:G$1000)</f>
        <v>0.61587840645798153</v>
      </c>
      <c r="J1512" s="1" cm="1">
        <f t="array" ref="J1512">SUMPRODUCT(("T_TW-icegsl-S1"=[1]OUT_TransportEnergyCons!$A$3:$A$1000)*1,("Var_Fin"=[1]OUT_TransportEnergyCons!$B$3:$B$1000)*1,ISNUMBER(SEARCH("gsl",[1]OUT_TransportEnergyCons!$C$3:$C$1000))*1,[1]OUT_TransportEnergyCons!H$3:H$1000)</f>
        <v>0.89435527412979166</v>
      </c>
      <c r="K1512" s="1" cm="1">
        <f t="array" ref="K1512">SUMPRODUCT(("T_TW-icegsl-S1"=[1]OUT_TransportEnergyCons!$A$3:$A$1000)*1,("Var_Fin"=[1]OUT_TransportEnergyCons!$B$3:$B$1000)*1,ISNUMBER(SEARCH("gsl",[1]OUT_TransportEnergyCons!$C$3:$C$1000))*1,[1]OUT_TransportEnergyCons!I$3:I$1000)</f>
        <v>0.22447939100717068</v>
      </c>
    </row>
    <row r="1513" spans="2:11" x14ac:dyDescent="0.35">
      <c r="B1513" t="str">
        <f t="shared" ref="B1513:B1516" si="995">B1512</f>
        <v>SPS1</v>
      </c>
      <c r="C1513" t="str">
        <f t="shared" si="985"/>
        <v>CH</v>
      </c>
      <c r="D1513" t="s">
        <v>1580</v>
      </c>
      <c r="E1513" t="str">
        <f t="shared" ref="E1513:E1515" si="996">E1512</f>
        <v>PJ/yr.</v>
      </c>
      <c r="F1513" s="1" cm="1">
        <f t="array" ref="F1513">SUMPRODUCT(("T_TW-icegsl-S2"=[1]OUT_TransportEnergyCons!$A$3:$A$1000)*1,("Var_Fin"=[1]OUT_TransportEnergyCons!$B$3:$B$1000)*1,ISNUMBER(SEARCH("gsl",[1]OUT_TransportEnergyCons!$C$3:$C$1000))*1,[1]OUT_TransportEnergyCons!D$3:D$1000)</f>
        <v>0.11231447998126343</v>
      </c>
      <c r="G1513" s="1" cm="1">
        <f t="array" ref="G1513">SUMPRODUCT(("T_TW-icegsl-S2"=[1]OUT_TransportEnergyCons!$A$3:$A$1000)*1,("Var_Fin"=[1]OUT_TransportEnergyCons!$B$3:$B$1000)*1,ISNUMBER(SEARCH("gsl",[1]OUT_TransportEnergyCons!$C$3:$C$1000))*1,[1]OUT_TransportEnergyCons!E$3:E$1000)</f>
        <v>0.16293786412505856</v>
      </c>
      <c r="H1513" s="1" cm="1">
        <f t="array" ref="H1513">SUMPRODUCT(("T_TW-icegsl-S2"=[1]OUT_TransportEnergyCons!$A$3:$A$1000)*1,("Var_Fin"=[1]OUT_TransportEnergyCons!$B$3:$B$1000)*1,ISNUMBER(SEARCH("gsl",[1]OUT_TransportEnergyCons!$C$3:$C$1000))*1,[1]OUT_TransportEnergyCons!F$3:F$1000)</f>
        <v>0.16298063346252661</v>
      </c>
      <c r="I1513" s="1" cm="1">
        <f t="array" ref="I1513">SUMPRODUCT(("T_TW-icegsl-S2"=[1]OUT_TransportEnergyCons!$A$3:$A$1000)*1,("Var_Fin"=[1]OUT_TransportEnergyCons!$B$3:$B$1000)*1,ISNUMBER(SEARCH("gsl",[1]OUT_TransportEnergyCons!$C$3:$C$1000))*1,[1]OUT_TransportEnergyCons!G$3:G$1000)</f>
        <v>0.10152388512571543</v>
      </c>
      <c r="J1513" s="1" cm="1">
        <f t="array" ref="J1513">SUMPRODUCT(("T_TW-icegsl-S2"=[1]OUT_TransportEnergyCons!$A$3:$A$1000)*1,("Var_Fin"=[1]OUT_TransportEnergyCons!$B$3:$B$1000)*1,ISNUMBER(SEARCH("gsl",[1]OUT_TransportEnergyCons!$C$3:$C$1000))*1,[1]OUT_TransportEnergyCons!H$3:H$1000)</f>
        <v>2.9629961443178277E-4</v>
      </c>
      <c r="K1513" s="1" cm="1">
        <f t="array" ref="K1513">SUMPRODUCT(("T_TW-icegsl-S2"=[1]OUT_TransportEnergyCons!$A$3:$A$1000)*1,("Var_Fin"=[1]OUT_TransportEnergyCons!$B$3:$B$1000)*1,ISNUMBER(SEARCH("gsl",[1]OUT_TransportEnergyCons!$C$3:$C$1000))*1,[1]OUT_TransportEnergyCons!I$3:I$1000)</f>
        <v>1.3557253149657834E-4</v>
      </c>
    </row>
    <row r="1514" spans="2:11" x14ac:dyDescent="0.35">
      <c r="B1514" t="str">
        <f t="shared" si="995"/>
        <v>SPS1</v>
      </c>
      <c r="C1514" t="str">
        <f t="shared" si="985"/>
        <v>CH</v>
      </c>
      <c r="D1514" t="s">
        <v>1581</v>
      </c>
      <c r="E1514" t="str">
        <f t="shared" si="996"/>
        <v>PJ/yr.</v>
      </c>
      <c r="F1514" s="1" cm="1">
        <f t="array" ref="F1514">SUMPRODUCT(("T_TW-icegsl-S3"=[1]OUT_TransportEnergyCons!$A$3:$A$1000)*1,("Var_Fin"=[1]OUT_TransportEnergyCons!$B$3:$B$1000)*1,ISNUMBER(SEARCH("gsl",[1]OUT_TransportEnergyCons!$C$3:$C$1000))*1,[1]OUT_TransportEnergyCons!D$3:D$1000)</f>
        <v>0.15937261497422489</v>
      </c>
      <c r="G1514" s="1" cm="1">
        <f t="array" ref="G1514">SUMPRODUCT(("T_TW-icegsl-S3"=[1]OUT_TransportEnergyCons!$A$3:$A$1000)*1,("Var_Fin"=[1]OUT_TransportEnergyCons!$B$3:$B$1000)*1,ISNUMBER(SEARCH("gsl",[1]OUT_TransportEnergyCons!$C$3:$C$1000))*1,[1]OUT_TransportEnergyCons!E$3:E$1000)</f>
        <v>0.19718241506905754</v>
      </c>
      <c r="H1514" s="1" cm="1">
        <f t="array" ref="H1514">SUMPRODUCT(("T_TW-icegsl-S3"=[1]OUT_TransportEnergyCons!$A$3:$A$1000)*1,("Var_Fin"=[1]OUT_TransportEnergyCons!$B$3:$B$1000)*1,ISNUMBER(SEARCH("gsl",[1]OUT_TransportEnergyCons!$C$3:$C$1000))*1,[1]OUT_TransportEnergyCons!F$3:F$1000)</f>
        <v>0.19930689759987963</v>
      </c>
      <c r="I1514" s="1" cm="1">
        <f t="array" ref="I1514">SUMPRODUCT(("T_TW-icegsl-S3"=[1]OUT_TransportEnergyCons!$A$3:$A$1000)*1,("Var_Fin"=[1]OUT_TransportEnergyCons!$B$3:$B$1000)*1,ISNUMBER(SEARCH("gsl",[1]OUT_TransportEnergyCons!$C$3:$C$1000))*1,[1]OUT_TransportEnergyCons!G$3:G$1000)</f>
        <v>0.19685001407066371</v>
      </c>
      <c r="J1514" s="1" cm="1">
        <f t="array" ref="J1514">SUMPRODUCT(("T_TW-icegsl-S3"=[1]OUT_TransportEnergyCons!$A$3:$A$1000)*1,("Var_Fin"=[1]OUT_TransportEnergyCons!$B$3:$B$1000)*1,ISNUMBER(SEARCH("gsl",[1]OUT_TransportEnergyCons!$C$3:$C$1000))*1,[1]OUT_TransportEnergyCons!H$3:H$1000)</f>
        <v>4.5765215294508242E-2</v>
      </c>
      <c r="K1514" s="1" cm="1">
        <f t="array" ref="K1514">SUMPRODUCT(("T_TW-icegsl-S3"=[1]OUT_TransportEnergyCons!$A$3:$A$1000)*1,("Var_Fin"=[1]OUT_TransportEnergyCons!$B$3:$B$1000)*1,ISNUMBER(SEARCH("gsl",[1]OUT_TransportEnergyCons!$C$3:$C$1000))*1,[1]OUT_TransportEnergyCons!I$3:I$1000)</f>
        <v>1.3433128422824615E-4</v>
      </c>
    </row>
    <row r="1515" spans="2:11" x14ac:dyDescent="0.35">
      <c r="B1515" t="str">
        <f t="shared" si="995"/>
        <v>SPS1</v>
      </c>
      <c r="C1515" t="str">
        <f t="shared" si="985"/>
        <v>CH</v>
      </c>
      <c r="D1515" t="s">
        <v>1582</v>
      </c>
      <c r="E1515" t="str">
        <f t="shared" si="996"/>
        <v>PJ/yr.</v>
      </c>
      <c r="F1515" s="1" cm="1">
        <f t="array" ref="F1515">SUMPRODUCT(("T_TW-icegsl-S4"=[1]OUT_TransportEnergyCons!$A$3:$A$1000)*1,("Var_Fin"=[1]OUT_TransportEnergyCons!$B$3:$B$1000)*1,ISNUMBER(SEARCH("gsl",[1]OUT_TransportEnergyCons!$C$3:$C$1000))*1,[1]OUT_TransportEnergyCons!D$3:D$1000)</f>
        <v>0.10445366348242499</v>
      </c>
      <c r="G1515" s="1" cm="1">
        <f t="array" ref="G1515">SUMPRODUCT(("T_TW-icegsl-S4"=[1]OUT_TransportEnergyCons!$A$3:$A$1000)*1,("Var_Fin"=[1]OUT_TransportEnergyCons!$B$3:$B$1000)*1,ISNUMBER(SEARCH("gsl",[1]OUT_TransportEnergyCons!$C$3:$C$1000))*1,[1]OUT_TransportEnergyCons!E$3:E$1000)</f>
        <v>0.1258764485369824</v>
      </c>
      <c r="H1515" s="1" cm="1">
        <f t="array" ref="H1515">SUMPRODUCT(("T_TW-icegsl-S4"=[1]OUT_TransportEnergyCons!$A$3:$A$1000)*1,("Var_Fin"=[1]OUT_TransportEnergyCons!$B$3:$B$1000)*1,ISNUMBER(SEARCH("gsl",[1]OUT_TransportEnergyCons!$C$3:$C$1000))*1,[1]OUT_TransportEnergyCons!F$3:F$1000)</f>
        <v>0.12722627322763858</v>
      </c>
      <c r="I1515" s="1" cm="1">
        <f t="array" ref="I1515">SUMPRODUCT(("T_TW-icegsl-S4"=[1]OUT_TransportEnergyCons!$A$3:$A$1000)*1,("Var_Fin"=[1]OUT_TransportEnergyCons!$B$3:$B$1000)*1,ISNUMBER(SEARCH("gsl",[1]OUT_TransportEnergyCons!$C$3:$C$1000))*1,[1]OUT_TransportEnergyCons!G$3:G$1000)</f>
        <v>0.12585138724082431</v>
      </c>
      <c r="J1515" s="1" cm="1">
        <f t="array" ref="J1515">SUMPRODUCT(("T_TW-icegsl-S4"=[1]OUT_TransportEnergyCons!$A$3:$A$1000)*1,("Var_Fin"=[1]OUT_TransportEnergyCons!$B$3:$B$1000)*1,ISNUMBER(SEARCH("gsl",[1]OUT_TransportEnergyCons!$C$3:$C$1000))*1,[1]OUT_TransportEnergyCons!H$3:H$1000)</f>
        <v>0.11412587520134079</v>
      </c>
      <c r="K1515" s="1" cm="1">
        <f t="array" ref="K1515">SUMPRODUCT(("T_TW-icegsl-S4"=[1]OUT_TransportEnergyCons!$A$3:$A$1000)*1,("Var_Fin"=[1]OUT_TransportEnergyCons!$B$3:$B$1000)*1,ISNUMBER(SEARCH("gsl",[1]OUT_TransportEnergyCons!$C$3:$C$1000))*1,[1]OUT_TransportEnergyCons!I$3:I$1000)</f>
        <v>8.2314763307107493E-4</v>
      </c>
    </row>
    <row r="1516" spans="2:11" x14ac:dyDescent="0.35">
      <c r="B1516" s="9" t="str">
        <f t="shared" si="995"/>
        <v>SPS1</v>
      </c>
      <c r="C1516" s="9" t="str">
        <f t="shared" si="985"/>
        <v>CH</v>
      </c>
      <c r="D1516" s="2" t="s">
        <v>1504</v>
      </c>
      <c r="E1516" s="2" t="s">
        <v>1518</v>
      </c>
      <c r="F1516" s="3" t="e">
        <f>SUM(#REF!,#REF!,#REF!)</f>
        <v>#REF!</v>
      </c>
      <c r="G1516" s="3" t="e">
        <f>SUM(#REF!,#REF!,#REF!)</f>
        <v>#REF!</v>
      </c>
      <c r="H1516" s="3" t="e">
        <f>SUM(#REF!,#REF!,#REF!)</f>
        <v>#REF!</v>
      </c>
      <c r="I1516" s="3" t="e">
        <f>SUM(#REF!,#REF!,#REF!)</f>
        <v>#REF!</v>
      </c>
      <c r="J1516" s="3" t="e">
        <f>SUM(#REF!,#REF!,#REF!)</f>
        <v>#REF!</v>
      </c>
      <c r="K1516" s="3" t="e">
        <f>SUM(#REF!,#REF!,#REF!)</f>
        <v>#REF!</v>
      </c>
    </row>
    <row r="1517" spans="2:11" x14ac:dyDescent="0.35">
      <c r="B1517" t="str">
        <f>B1516</f>
        <v>SPS1</v>
      </c>
      <c r="C1517" t="str">
        <f>C1516</f>
        <v>CH</v>
      </c>
      <c r="D1517" t="s">
        <v>1505</v>
      </c>
      <c r="E1517" t="str">
        <f>E1516</f>
        <v>Billion km/yr.</v>
      </c>
      <c r="F1517" s="1" cm="1">
        <f t="array" ref="F1517">SUMPRODUCT(("T_TW-BEVELC-S1"=[1]OUT_TransportEnergyCons!$A$3:$A$1000)*1,("var_fout"=[1]OUT_TransportEnergyCons!$B$3:$B$1000)*1,ISNUMBER(SEARCH("TPTWL",[1]OUT_TransportEnergyCons!$C$3:$C$1000))*1,[1]OUT_TransportEnergyCons!D$3:D$1000)</f>
        <v>1.7287325017787462E-2</v>
      </c>
      <c r="G1517" s="1" cm="1">
        <f t="array" ref="G1517">SUMPRODUCT(("T_TW-BEVELC-S1"=[1]OUT_TransportEnergyCons!$A$3:$A$1000)*1,("var_fout"=[1]OUT_TransportEnergyCons!$B$3:$B$1000)*1,ISNUMBER(SEARCH("TPTWL",[1]OUT_TransportEnergyCons!$C$3:$C$1000))*1,[1]OUT_TransportEnergyCons!E$3:E$1000)</f>
        <v>2.3445647182618667E-2</v>
      </c>
      <c r="H1517" s="1" cm="1">
        <f t="array" ref="H1517">SUMPRODUCT(("T_TW-BEVELC-S1"=[1]OUT_TransportEnergyCons!$A$3:$A$1000)*1,("var_fout"=[1]OUT_TransportEnergyCons!$B$3:$B$1000)*1,ISNUMBER(SEARCH("TPTWL",[1]OUT_TransportEnergyCons!$C$3:$C$1000))*1,[1]OUT_TransportEnergyCons!F$3:F$1000)</f>
        <v>2.37400043850611E-2</v>
      </c>
      <c r="I1517" s="1" cm="1">
        <f t="array" ref="I1517">SUMPRODUCT(("T_TW-BEVELC-S1"=[1]OUT_TransportEnergyCons!$A$3:$A$1000)*1,("var_fout"=[1]OUT_TransportEnergyCons!$B$3:$B$1000)*1,ISNUMBER(SEARCH("TPTWL",[1]OUT_TransportEnergyCons!$C$3:$C$1000))*1,[1]OUT_TransportEnergyCons!G$3:G$1000)</f>
        <v>1.6190150607424972E-2</v>
      </c>
      <c r="J1517" s="1" cm="1">
        <f t="array" ref="J1517">SUMPRODUCT(("T_TW-BEVELC-S1"=[1]OUT_TransportEnergyCons!$A$3:$A$1000)*1,("var_fout"=[1]OUT_TransportEnergyCons!$B$3:$B$1000)*1,ISNUMBER(SEARCH("TPTWL",[1]OUT_TransportEnergyCons!$C$3:$C$1000))*1,[1]OUT_TransportEnergyCons!H$3:H$1000)</f>
        <v>4.1173730581355343E-3</v>
      </c>
      <c r="K1517" s="1" cm="1">
        <f t="array" ref="K1517">SUMPRODUCT(("T_TW-BEVELC-S1"=[1]OUT_TransportEnergyCons!$A$3:$A$1000)*1,("var_fout"=[1]OUT_TransportEnergyCons!$B$3:$B$1000)*1,ISNUMBER(SEARCH("TPTWL",[1]OUT_TransportEnergyCons!$C$3:$C$1000))*1,[1]OUT_TransportEnergyCons!I$3:I$1000)</f>
        <v>1.4420078451090612</v>
      </c>
    </row>
    <row r="1518" spans="2:11" x14ac:dyDescent="0.35">
      <c r="B1518" t="str">
        <f t="shared" ref="B1518:B1543" si="997">B1517</f>
        <v>SPS1</v>
      </c>
      <c r="C1518" t="str">
        <f t="shared" ref="C1518:C1543" si="998">C1517</f>
        <v>CH</v>
      </c>
      <c r="D1518" t="s">
        <v>1506</v>
      </c>
      <c r="E1518" t="str">
        <f t="shared" ref="E1518:E1529" si="999">E1517</f>
        <v>Billion km/yr.</v>
      </c>
      <c r="F1518" s="1" cm="1">
        <f t="array" ref="F1518">SUMPRODUCT(("T_TW-BEVELC-S2"=[1]OUT_TransportEnergyCons!$A$3:$A$1000)*1,("var_fout"=[1]OUT_TransportEnergyCons!$B$3:$B$1000)*1,ISNUMBER(SEARCH("TPTWL",[1]OUT_TransportEnergyCons!$C$3:$C$1000))*1,[1]OUT_TransportEnergyCons!D$3:D$1000)</f>
        <v>2.2305363970175143E-3</v>
      </c>
      <c r="G1518" s="1" cm="1">
        <f t="array" ref="G1518">SUMPRODUCT(("T_TW-BEVELC-S2"=[1]OUT_TransportEnergyCons!$A$3:$A$1000)*1,("var_fout"=[1]OUT_TransportEnergyCons!$B$3:$B$1000)*1,ISNUMBER(SEARCH("TPTWL",[1]OUT_TransportEnergyCons!$C$3:$C$1000))*1,[1]OUT_TransportEnergyCons!E$3:E$1000)</f>
        <v>2.8065452292415178E-3</v>
      </c>
      <c r="H1518" s="1" cm="1">
        <f t="array" ref="H1518">SUMPRODUCT(("T_TW-BEVELC-S2"=[1]OUT_TransportEnergyCons!$A$3:$A$1000)*1,("var_fout"=[1]OUT_TransportEnergyCons!$B$3:$B$1000)*1,ISNUMBER(SEARCH("TPTWL",[1]OUT_TransportEnergyCons!$C$3:$C$1000))*1,[1]OUT_TransportEnergyCons!F$3:F$1000)</f>
        <v>2.8984673430096368E-3</v>
      </c>
      <c r="I1518" s="1" cm="1">
        <f t="array" ref="I1518">SUMPRODUCT(("T_TW-BEVELC-S2"=[1]OUT_TransportEnergyCons!$A$3:$A$1000)*1,("var_fout"=[1]OUT_TransportEnergyCons!$B$3:$B$1000)*1,ISNUMBER(SEARCH("TPTWL",[1]OUT_TransportEnergyCons!$C$3:$C$1000))*1,[1]OUT_TransportEnergyCons!G$3:G$1000)</f>
        <v>2.5029373450488855E-3</v>
      </c>
      <c r="J1518" s="1" cm="1">
        <f t="array" ref="J1518">SUMPRODUCT(("T_TW-BEVELC-S2"=[1]OUT_TransportEnergyCons!$A$3:$A$1000)*1,("var_fout"=[1]OUT_TransportEnergyCons!$B$3:$B$1000)*1,ISNUMBER(SEARCH("TPTWL",[1]OUT_TransportEnergyCons!$C$3:$C$1000))*1,[1]OUT_TransportEnergyCons!H$3:H$1000)</f>
        <v>6.8362018767580189E-4</v>
      </c>
      <c r="K1518" s="1" cm="1">
        <f t="array" ref="K1518">SUMPRODUCT(("T_TW-BEVELC-S2"=[1]OUT_TransportEnergyCons!$A$3:$A$1000)*1,("var_fout"=[1]OUT_TransportEnergyCons!$B$3:$B$1000)*1,ISNUMBER(SEARCH("TPTWL",[1]OUT_TransportEnergyCons!$C$3:$C$1000))*1,[1]OUT_TransportEnergyCons!I$3:I$1000)</f>
        <v>4.8068657148227011E-4</v>
      </c>
    </row>
    <row r="1519" spans="2:11" x14ac:dyDescent="0.35">
      <c r="B1519" t="str">
        <f t="shared" si="997"/>
        <v>SPS1</v>
      </c>
      <c r="C1519" t="str">
        <f t="shared" si="998"/>
        <v>CH</v>
      </c>
      <c r="D1519" t="s">
        <v>1507</v>
      </c>
      <c r="E1519" t="str">
        <f t="shared" si="999"/>
        <v>Billion km/yr.</v>
      </c>
      <c r="F1519" s="1" cm="1">
        <f t="array" ref="F1519">SUMPRODUCT(("T_TW-BEVELC-S3"=[1]OUT_TransportEnergyCons!$A$3:$A$1000)*1,("var_fout"=[1]OUT_TransportEnergyCons!$B$3:$B$1000)*1,ISNUMBER(SEARCH("TPTWL",[1]OUT_TransportEnergyCons!$C$3:$C$1000))*1,[1]OUT_TransportEnergyCons!D$3:D$1000)</f>
        <v>3.2056389590775608E-4</v>
      </c>
      <c r="G1519" s="1" cm="1">
        <f t="array" ref="G1519">SUMPRODUCT(("T_TW-BEVELC-S3"=[1]OUT_TransportEnergyCons!$A$3:$A$1000)*1,("var_fout"=[1]OUT_TransportEnergyCons!$B$3:$B$1000)*1,ISNUMBER(SEARCH("TPTWL",[1]OUT_TransportEnergyCons!$C$3:$C$1000))*1,[1]OUT_TransportEnergyCons!E$3:E$1000)</f>
        <v>5.7580104862652709E-4</v>
      </c>
      <c r="H1519" s="1" cm="1">
        <f t="array" ref="H1519">SUMPRODUCT(("T_TW-BEVELC-S3"=[1]OUT_TransportEnergyCons!$A$3:$A$1000)*1,("var_fout"=[1]OUT_TransportEnergyCons!$B$3:$B$1000)*1,ISNUMBER(SEARCH("TPTWL",[1]OUT_TransportEnergyCons!$C$3:$C$1000))*1,[1]OUT_TransportEnergyCons!F$3:F$1000)</f>
        <v>6.3522842475738795E-4</v>
      </c>
      <c r="I1519" s="1" cm="1">
        <f t="array" ref="I1519">SUMPRODUCT(("T_TW-BEVELC-S3"=[1]OUT_TransportEnergyCons!$A$3:$A$1000)*1,("var_fout"=[1]OUT_TransportEnergyCons!$B$3:$B$1000)*1,ISNUMBER(SEARCH("TPTWL",[1]OUT_TransportEnergyCons!$C$3:$C$1000))*1,[1]OUT_TransportEnergyCons!G$3:G$1000)</f>
        <v>6.8505129929106166E-4</v>
      </c>
      <c r="J1519" s="1" cm="1">
        <f t="array" ref="J1519">SUMPRODUCT(("T_TW-BEVELC-S3"=[1]OUT_TransportEnergyCons!$A$3:$A$1000)*1,("var_fout"=[1]OUT_TransportEnergyCons!$B$3:$B$1000)*1,ISNUMBER(SEARCH("TPTWL",[1]OUT_TransportEnergyCons!$C$3:$C$1000))*1,[1]OUT_TransportEnergyCons!H$3:H$1000)</f>
        <v>5.295811229797195E-4</v>
      </c>
      <c r="K1519" s="1" cm="1">
        <f t="array" ref="K1519">SUMPRODUCT(("T_TW-BEVELC-S3"=[1]OUT_TransportEnergyCons!$A$3:$A$1000)*1,("var_fout"=[1]OUT_TransportEnergyCons!$B$3:$B$1000)*1,ISNUMBER(SEARCH("TPTWL",[1]OUT_TransportEnergyCons!$C$3:$C$1000))*1,[1]OUT_TransportEnergyCons!I$3:I$1000)</f>
        <v>2.5335193354527458E-4</v>
      </c>
    </row>
    <row r="1520" spans="2:11" x14ac:dyDescent="0.35">
      <c r="B1520" t="str">
        <f t="shared" si="997"/>
        <v>SPS1</v>
      </c>
      <c r="C1520" t="str">
        <f t="shared" si="998"/>
        <v>CH</v>
      </c>
      <c r="D1520" t="s">
        <v>1508</v>
      </c>
      <c r="E1520" t="str">
        <f t="shared" si="999"/>
        <v>Billion km/yr.</v>
      </c>
      <c r="F1520" s="1" cm="1">
        <f t="array" ref="F1520">SUMPRODUCT(("T_TW-BEVELC-S4"=[1]OUT_TransportEnergyCons!$A$3:$A$1000)*1,("var_fout"=[1]OUT_TransportEnergyCons!$B$3:$B$1000)*1,ISNUMBER(SEARCH("TPTWL",[1]OUT_TransportEnergyCons!$C$3:$C$1000))*1,[1]OUT_TransportEnergyCons!D$3:D$1000)</f>
        <v>1.275292635820807E-4</v>
      </c>
      <c r="G1520" s="1" cm="1">
        <f t="array" ref="G1520">SUMPRODUCT(("T_TW-BEVELC-S4"=[1]OUT_TransportEnergyCons!$A$3:$A$1000)*1,("var_fout"=[1]OUT_TransportEnergyCons!$B$3:$B$1000)*1,ISNUMBER(SEARCH("TPTWL",[1]OUT_TransportEnergyCons!$C$3:$C$1000))*1,[1]OUT_TransportEnergyCons!E$3:E$1000)</f>
        <v>2.6530707614799221E-4</v>
      </c>
      <c r="H1520" s="1" cm="1">
        <f t="array" ref="H1520">SUMPRODUCT(("T_TW-BEVELC-S4"=[1]OUT_TransportEnergyCons!$A$3:$A$1000)*1,("var_fout"=[1]OUT_TransportEnergyCons!$B$3:$B$1000)*1,ISNUMBER(SEARCH("TPTWL",[1]OUT_TransportEnergyCons!$C$3:$C$1000))*1,[1]OUT_TransportEnergyCons!F$3:F$1000)</f>
        <v>3.4958611072976676E-4</v>
      </c>
      <c r="I1520" s="1" cm="1">
        <f t="array" ref="I1520">SUMPRODUCT(("T_TW-BEVELC-S4"=[1]OUT_TransportEnergyCons!$A$3:$A$1000)*1,("var_fout"=[1]OUT_TransportEnergyCons!$B$3:$B$1000)*1,ISNUMBER(SEARCH("TPTWL",[1]OUT_TransportEnergyCons!$C$3:$C$1000))*1,[1]OUT_TransportEnergyCons!G$3:G$1000)</f>
        <v>4.061181653691895E-4</v>
      </c>
      <c r="J1520" s="1" cm="1">
        <f t="array" ref="J1520">SUMPRODUCT(("T_TW-BEVELC-S4"=[1]OUT_TransportEnergyCons!$A$3:$A$1000)*1,("var_fout"=[1]OUT_TransportEnergyCons!$B$3:$B$1000)*1,ISNUMBER(SEARCH("TPTWL",[1]OUT_TransportEnergyCons!$C$3:$C$1000))*1,[1]OUT_TransportEnergyCons!H$3:H$1000)</f>
        <v>5.9712674596057512E-4</v>
      </c>
      <c r="K1520" s="1" cm="1">
        <f t="array" ref="K1520">SUMPRODUCT(("T_TW-BEVELC-S4"=[1]OUT_TransportEnergyCons!$A$3:$A$1000)*1,("var_fout"=[1]OUT_TransportEnergyCons!$B$3:$B$1000)*1,ISNUMBER(SEARCH("TPTWL",[1]OUT_TransportEnergyCons!$C$3:$C$1000))*1,[1]OUT_TransportEnergyCons!I$3:I$1000)</f>
        <v>3.780283566517352E-4</v>
      </c>
    </row>
    <row r="1521" spans="2:11" x14ac:dyDescent="0.35">
      <c r="B1521" t="str">
        <f t="shared" si="997"/>
        <v>SPS1</v>
      </c>
      <c r="C1521" t="str">
        <f t="shared" si="998"/>
        <v>CH</v>
      </c>
      <c r="D1521" t="s">
        <v>1509</v>
      </c>
      <c r="E1521" t="str">
        <f t="shared" si="999"/>
        <v>Billion km/yr.</v>
      </c>
      <c r="F1521" s="1" cm="1">
        <f t="array" ref="F1521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1" s="1" cm="1">
        <f t="array" ref="G1521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1" s="1" cm="1">
        <f t="array" ref="H1521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1" s="1" cm="1">
        <f t="array" ref="I1521">SUMPRODUCT(("T_TW-fclh2o-S1"=[1]OUT_TransportEnergyCons!$A$3:$A$1000)*1,("var_fout"=[1]OUT_TransportEnergyCons!$B$3:$B$1000)*1,ISNUMBER(SEARCH("TPTWL",[1]OUT_TransportEnergyCons!$C$3:$C$1000))*1,[1]OUT_TransportEnergyCons!G$3:G$1000)</f>
        <v>8.6714285797996106E-5</v>
      </c>
      <c r="J1521" s="1" cm="1">
        <f t="array" ref="J1521">SUMPRODUCT(("T_TW-fclh2o-S1"=[1]OUT_TransportEnergyCons!$A$3:$A$1000)*1,("var_fout"=[1]OUT_TransportEnergyCons!$B$3:$B$1000)*1,ISNUMBER(SEARCH("TPTWL",[1]OUT_TransportEnergyCons!$C$3:$C$1000))*1,[1]OUT_TransportEnergyCons!H$3:H$1000)</f>
        <v>3.6542901979835866E-4</v>
      </c>
      <c r="K1521" s="1" cm="1">
        <f t="array" ref="K1521">SUMPRODUCT(("T_TW-fclh2o-S1"=[1]OUT_TransportEnergyCons!$A$3:$A$1000)*1,("var_fout"=[1]OUT_TransportEnergyCons!$B$3:$B$1000)*1,ISNUMBER(SEARCH("TPTWL",[1]OUT_TransportEnergyCons!$C$3:$C$1000))*1,[1]OUT_TransportEnergyCons!I$3:I$1000)</f>
        <v>3.2247604408073492E-4</v>
      </c>
    </row>
    <row r="1522" spans="2:11" x14ac:dyDescent="0.35">
      <c r="B1522" t="str">
        <f t="shared" si="997"/>
        <v>SPS1</v>
      </c>
      <c r="C1522" t="str">
        <f t="shared" si="998"/>
        <v>CH</v>
      </c>
      <c r="D1522" t="s">
        <v>1510</v>
      </c>
      <c r="E1522" t="str">
        <f t="shared" si="999"/>
        <v>Billion km/yr.</v>
      </c>
      <c r="F1522" s="1" cm="1">
        <f t="array" ref="F1522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2" s="1" cm="1">
        <f t="array" ref="G1522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2" s="1" cm="1">
        <f t="array" ref="H1522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2" s="1" cm="1">
        <f t="array" ref="I1522">SUMPRODUCT(("T_TW-fclh2o-S2"=[1]OUT_TransportEnergyCons!$A$3:$A$1000)*1,("var_fout"=[1]OUT_TransportEnergyCons!$B$3:$B$1000)*1,ISNUMBER(SEARCH("TPTWL",[1]OUT_TransportEnergyCons!$C$3:$C$1000))*1,[1]OUT_TransportEnergyCons!G$3:G$1000)</f>
        <v>4.5750803152680681E-5</v>
      </c>
      <c r="J1522" s="1" cm="1">
        <f t="array" ref="J1522">SUMPRODUCT(("T_TW-fclh2o-S2"=[1]OUT_TransportEnergyCons!$A$3:$A$1000)*1,("var_fout"=[1]OUT_TransportEnergyCons!$B$3:$B$1000)*1,ISNUMBER(SEARCH("TPTWL",[1]OUT_TransportEnergyCons!$C$3:$C$1000))*1,[1]OUT_TransportEnergyCons!H$3:H$1000)</f>
        <v>1.6571562532859179E-4</v>
      </c>
      <c r="K1522" s="1" cm="1">
        <f t="array" ref="K1522">SUMPRODUCT(("T_TW-fclh2o-S2"=[1]OUT_TransportEnergyCons!$A$3:$A$1000)*1,("var_fout"=[1]OUT_TransportEnergyCons!$B$3:$B$1000)*1,ISNUMBER(SEARCH("TPTWL",[1]OUT_TransportEnergyCons!$C$3:$C$1000))*1,[1]OUT_TransportEnergyCons!I$3:I$1000)</f>
        <v>1.2766893420080162E-4</v>
      </c>
    </row>
    <row r="1523" spans="2:11" x14ac:dyDescent="0.35">
      <c r="B1523" t="str">
        <f t="shared" si="997"/>
        <v>SPS1</v>
      </c>
      <c r="C1523" t="str">
        <f t="shared" si="998"/>
        <v>CH</v>
      </c>
      <c r="D1523" t="s">
        <v>1511</v>
      </c>
      <c r="E1523" t="str">
        <f t="shared" si="999"/>
        <v>Billion km/yr.</v>
      </c>
      <c r="F1523" s="1" cm="1">
        <f t="array" ref="F1523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SUMPRODUCT(("T_TW-fclh2o-S3"=[1]OUT_TransportEnergyCons!$A$3:$A$1000)*1,("var_fout"=[1]OUT_TransportEnergyCons!$B$3:$B$1000)*1,ISNUMBER(SEARCH("TPTWL",[1]OUT_TransportEnergyCons!$C$3:$C$1000))*1,[1]OUT_TransportEnergyCons!G$3:G$1000)</f>
        <v>2.6352572968364494E-5</v>
      </c>
      <c r="J1523" s="1" cm="1">
        <f t="array" ref="J1523">SUMPRODUCT(("T_TW-fclh2o-S3"=[1]OUT_TransportEnergyCons!$A$3:$A$1000)*1,("var_fout"=[1]OUT_TransportEnergyCons!$B$3:$B$1000)*1,ISNUMBER(SEARCH("TPTWL",[1]OUT_TransportEnergyCons!$C$3:$C$1000))*1,[1]OUT_TransportEnergyCons!H$3:H$1000)</f>
        <v>8.6371022802202404E-5</v>
      </c>
      <c r="K1523" s="1" cm="1">
        <f t="array" ref="K1523">SUMPRODUCT(("T_TW-fclh2o-S3"=[1]OUT_TransportEnergyCons!$A$3:$A$1000)*1,("var_fout"=[1]OUT_TransportEnergyCons!$B$3:$B$1000)*1,ISNUMBER(SEARCH("TPTWL",[1]OUT_TransportEnergyCons!$C$3:$C$1000))*1,[1]OUT_TransportEnergyCons!I$3:I$1000)</f>
        <v>8.7745802022880828E-5</v>
      </c>
    </row>
    <row r="1524" spans="2:11" x14ac:dyDescent="0.35">
      <c r="B1524" t="str">
        <f t="shared" si="997"/>
        <v>SPS1</v>
      </c>
      <c r="C1524" t="str">
        <f t="shared" si="998"/>
        <v>CH</v>
      </c>
      <c r="D1524" t="s">
        <v>1512</v>
      </c>
      <c r="E1524" t="str">
        <f t="shared" si="999"/>
        <v>Billion km/yr.</v>
      </c>
      <c r="F1524" s="1" cm="1">
        <f t="array" ref="F1524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SUMPRODUCT(("T_TW-fclh2o-S4"=[1]OUT_TransportEnergyCons!$A$3:$A$1000)*1,("var_fout"=[1]OUT_TransportEnergyCons!$B$3:$B$1000)*1,ISNUMBER(SEARCH("TPTWL",[1]OUT_TransportEnergyCons!$C$3:$C$1000))*1,[1]OUT_TransportEnergyCons!G$3:G$1000)</f>
        <v>1.2861556761869768E-5</v>
      </c>
      <c r="J1524" s="1" cm="1">
        <f t="array" ref="J1524">SUMPRODUCT(("T_TW-fclh2o-S4"=[1]OUT_TransportEnergyCons!$A$3:$A$1000)*1,("var_fout"=[1]OUT_TransportEnergyCons!$B$3:$B$1000)*1,ISNUMBER(SEARCH("TPTWL",[1]OUT_TransportEnergyCons!$C$3:$C$1000))*1,[1]OUT_TransportEnergyCons!H$3:H$1000)</f>
        <v>4.443495568169461E-5</v>
      </c>
      <c r="K1524" s="1" cm="1">
        <f t="array" ref="K1524">SUMPRODUCT(("T_TW-fclh2o-S4"=[1]OUT_TransportEnergyCons!$A$3:$A$1000)*1,("var_fout"=[1]OUT_TransportEnergyCons!$B$3:$B$1000)*1,ISNUMBER(SEARCH("TPTWL",[1]OUT_TransportEnergyCons!$C$3:$C$1000))*1,[1]OUT_TransportEnergyCons!I$3:I$1000)</f>
        <v>5.4380222807634184E-5</v>
      </c>
    </row>
    <row r="1525" spans="2:11" x14ac:dyDescent="0.35">
      <c r="B1525" t="str">
        <f t="shared" si="997"/>
        <v>SPS1</v>
      </c>
      <c r="C1525" t="str">
        <f t="shared" si="998"/>
        <v>CH</v>
      </c>
      <c r="D1525" t="s">
        <v>1513</v>
      </c>
      <c r="E1525" t="str">
        <f t="shared" si="999"/>
        <v>Billion km/yr.</v>
      </c>
      <c r="F1525" s="1" cm="1">
        <f t="array" ref="F1525">SUMPRODUCT(("T_TW-ICEGSLEXT"=[1]OUT_TransportEnergyCons!$A$3:$A$1000)*1,("var_fout"=[1]OUT_TransportEnergyCons!$B$3:$B$1000)*1,ISNUMBER(SEARCH("TPTWL",[1]OUT_TransportEnergyCons!$C$3:$C$1000))*1,[1]OUT_TransportEnergyCons!D$3:D$1000)</f>
        <v>1.5339915045718227</v>
      </c>
      <c r="G1525" s="1" cm="1">
        <f t="array" ref="G1525">SUMPRODUCT(("T_TW-ICEGSLEXT"=[1]OUT_TransportEnergyCons!$A$3:$A$1000)*1,("var_fout"=[1]OUT_TransportEnergyCons!$B$3:$B$1000)*1,ISNUMBER(SEARCH("TPTWL",[1]OUT_TransportEnergyCons!$C$3:$C$1000))*1,[1]OUT_TransportEnergyCons!E$3:E$1000)</f>
        <v>1.1791940977116928</v>
      </c>
      <c r="H1525" s="1" cm="1">
        <f t="array" ref="H1525">SUMPRODUCT(("T_TW-ICEGSLEXT"=[1]OUT_TransportEnergyCons!$A$3:$A$1000)*1,("var_fout"=[1]OUT_TransportEnergyCons!$B$3:$B$1000)*1,ISNUMBER(SEARCH("TPTWL",[1]OUT_TransportEnergyCons!$C$3:$C$1000))*1,[1]OUT_TransportEnergyCons!F$3:F$1000)</f>
        <v>0.84455480320980103</v>
      </c>
      <c r="I1525" s="1" cm="1">
        <f t="array" ref="I1525">SUMPRODUCT(("T_TW-ICEGSLEXT"=[1]OUT_TransportEnergyCons!$A$3:$A$1000)*1,("var_fout"=[1]OUT_TransportEnergyCons!$B$3:$B$1000)*1,ISNUMBER(SEARCH("TPTWL",[1]OUT_TransportEnergyCons!$C$3:$C$1000))*1,[1]OUT_TransportEnergyCons!G$3:G$1000)</f>
        <v>0.38582244296700291</v>
      </c>
      <c r="J1525" s="1" cm="1">
        <f t="array" ref="J1525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5" s="1" cm="1">
        <f t="array" ref="K1525">SUMPRODUCT(("T_TW-ICEGSLEXT"=[1]OUT_TransportEnergyCons!$A$3:$A$1000)*1,("var_fout"=[1]OUT_TransportEnergyCons!$B$3:$B$1000)*1,ISNUMBER(SEARCH("TPTWL",[1]OUT_TransportEnergyCons!$C$3:$C$1000))*1,[1]OUT_TransportEnergyCons!I$3:I$1000)</f>
        <v>0</v>
      </c>
    </row>
    <row r="1526" spans="2:11" x14ac:dyDescent="0.35">
      <c r="B1526" t="str">
        <f t="shared" si="997"/>
        <v>SPS1</v>
      </c>
      <c r="C1526" t="str">
        <f t="shared" si="998"/>
        <v>CH</v>
      </c>
      <c r="D1526" t="s">
        <v>1514</v>
      </c>
      <c r="E1526" t="str">
        <f t="shared" si="999"/>
        <v>Billion km/yr.</v>
      </c>
      <c r="F1526" s="1" cm="1">
        <f t="array" ref="F1526">SUMPRODUCT(("T_TW-icegsl-S1"=[1]OUT_TransportEnergyCons!$A$3:$A$1000)*1,("var_fout"=[1]OUT_TransportEnergyCons!$B$3:$B$1000)*1,ISNUMBER(SEARCH("TPTWL",[1]OUT_TransportEnergyCons!$C$3:$C$1000))*1,[1]OUT_TransportEnergyCons!D$3:D$1000)</f>
        <v>8.4496437946141353E-2</v>
      </c>
      <c r="G1526" s="1" cm="1">
        <f t="array" ref="G1526">SUMPRODUCT(("T_TW-icegsl-S1"=[1]OUT_TransportEnergyCons!$A$3:$A$1000)*1,("var_fout"=[1]OUT_TransportEnergyCons!$B$3:$B$1000)*1,ISNUMBER(SEARCH("TPTWL",[1]OUT_TransportEnergyCons!$C$3:$C$1000))*1,[1]OUT_TransportEnergyCons!E$3:E$1000)</f>
        <v>0.3360532453782919</v>
      </c>
      <c r="H1526" s="1" cm="1">
        <f t="array" ref="H1526">SUMPRODUCT(("T_TW-icegsl-S1"=[1]OUT_TransportEnergyCons!$A$3:$A$1000)*1,("var_fout"=[1]OUT_TransportEnergyCons!$B$3:$B$1000)*1,ISNUMBER(SEARCH("TPTWL",[1]OUT_TransportEnergyCons!$C$3:$C$1000))*1,[1]OUT_TransportEnergyCons!F$3:F$1000)</f>
        <v>0.67163154138187287</v>
      </c>
      <c r="I1526" s="1" cm="1">
        <f t="array" ref="I1526">SUMPRODUCT(("T_TW-icegsl-S1"=[1]OUT_TransportEnergyCons!$A$3:$A$1000)*1,("var_fout"=[1]OUT_TransportEnergyCons!$B$3:$B$1000)*1,ISNUMBER(SEARCH("TPTWL",[1]OUT_TransportEnergyCons!$C$3:$C$1000))*1,[1]OUT_TransportEnergyCons!G$3:G$1000)</f>
        <v>1.2148047226442356</v>
      </c>
      <c r="J1526" s="1" cm="1">
        <f t="array" ref="J1526">SUMPRODUCT(("T_TW-icegsl-S1"=[1]OUT_TransportEnergyCons!$A$3:$A$1000)*1,("var_fout"=[1]OUT_TransportEnergyCons!$B$3:$B$1000)*1,ISNUMBER(SEARCH("TPTWL",[1]OUT_TransportEnergyCons!$C$3:$C$1000))*1,[1]OUT_TransportEnergyCons!H$3:H$1000)</f>
        <v>1.8474959007864487</v>
      </c>
      <c r="K1526" s="1" cm="1">
        <f t="array" ref="K1526">SUMPRODUCT(("T_TW-icegsl-S1"=[1]OUT_TransportEnergyCons!$A$3:$A$1000)*1,("var_fout"=[1]OUT_TransportEnergyCons!$B$3:$B$1000)*1,ISNUMBER(SEARCH("TPTWL",[1]OUT_TransportEnergyCons!$C$3:$C$1000))*1,[1]OUT_TransportEnergyCons!I$3:I$1000)</f>
        <v>0.46649947765293542</v>
      </c>
    </row>
    <row r="1527" spans="2:11" x14ac:dyDescent="0.35">
      <c r="B1527" t="str">
        <f t="shared" si="997"/>
        <v>SPS1</v>
      </c>
      <c r="C1527" t="str">
        <f t="shared" si="998"/>
        <v>CH</v>
      </c>
      <c r="D1527" t="s">
        <v>1515</v>
      </c>
      <c r="E1527" t="str">
        <f t="shared" si="999"/>
        <v>Billion km/yr.</v>
      </c>
      <c r="F1527" s="1" cm="1">
        <f t="array" ref="F1527">SUMPRODUCT(("T_TW-icegsl-S2"=[1]OUT_TransportEnergyCons!$A$3:$A$1000)*1,("var_fout"=[1]OUT_TransportEnergyCons!$B$3:$B$1000)*1,ISNUMBER(SEARCH("TPTWL",[1]OUT_TransportEnergyCons!$C$3:$C$1000))*1,[1]OUT_TransportEnergyCons!D$3:D$1000)</f>
        <v>0.12385625117448114</v>
      </c>
      <c r="G1527" s="1" cm="1">
        <f t="array" ref="G1527">SUMPRODUCT(("T_TW-icegsl-S2"=[1]OUT_TransportEnergyCons!$A$3:$A$1000)*1,("var_fout"=[1]OUT_TransportEnergyCons!$B$3:$B$1000)*1,ISNUMBER(SEARCH("TPTWL",[1]OUT_TransportEnergyCons!$C$3:$C$1000))*1,[1]OUT_TransportEnergyCons!E$3:E$1000)</f>
        <v>0.17993155137211916</v>
      </c>
      <c r="H1527" s="1" cm="1">
        <f t="array" ref="H1527">SUMPRODUCT(("T_TW-icegsl-S2"=[1]OUT_TransportEnergyCons!$A$3:$A$1000)*1,("var_fout"=[1]OUT_TransportEnergyCons!$B$3:$B$1000)*1,ISNUMBER(SEARCH("TPTWL",[1]OUT_TransportEnergyCons!$C$3:$C$1000))*1,[1]OUT_TransportEnergyCons!F$3:F$1000)</f>
        <v>0.17998171541245744</v>
      </c>
      <c r="I1527" s="1" cm="1">
        <f t="array" ref="I1527">SUMPRODUCT(("T_TW-icegsl-S2"=[1]OUT_TransportEnergyCons!$A$3:$A$1000)*1,("var_fout"=[1]OUT_TransportEnergyCons!$B$3:$B$1000)*1,ISNUMBER(SEARCH("TPTWL",[1]OUT_TransportEnergyCons!$C$3:$C$1000))*1,[1]OUT_TransportEnergyCons!G$3:G$1000)</f>
        <v>0.11214555282340768</v>
      </c>
      <c r="J1527" s="1" cm="1">
        <f t="array" ref="J1527">SUMPRODUCT(("T_TW-icegsl-S2"=[1]OUT_TransportEnergyCons!$A$3:$A$1000)*1,("var_fout"=[1]OUT_TransportEnergyCons!$B$3:$B$1000)*1,ISNUMBER(SEARCH("TPTWL",[1]OUT_TransportEnergyCons!$C$3:$C$1000))*1,[1]OUT_TransportEnergyCons!H$3:H$1000)</f>
        <v>3.4963915080569736E-4</v>
      </c>
      <c r="K1527" s="1" cm="1">
        <f t="array" ref="K1527">SUMPRODUCT(("T_TW-icegsl-S2"=[1]OUT_TransportEnergyCons!$A$3:$A$1000)*1,("var_fout"=[1]OUT_TransportEnergyCons!$B$3:$B$1000)*1,ISNUMBER(SEARCH("TPTWL",[1]OUT_TransportEnergyCons!$C$3:$C$1000))*1,[1]OUT_TransportEnergyCons!I$3:I$1000)</f>
        <v>1.641883399272344E-4</v>
      </c>
    </row>
    <row r="1528" spans="2:11" x14ac:dyDescent="0.35">
      <c r="B1528" t="str">
        <f t="shared" si="997"/>
        <v>SPS1</v>
      </c>
      <c r="C1528" t="str">
        <f t="shared" si="998"/>
        <v>CH</v>
      </c>
      <c r="D1528" t="s">
        <v>1516</v>
      </c>
      <c r="E1528" t="str">
        <f t="shared" si="999"/>
        <v>Billion km/yr.</v>
      </c>
      <c r="F1528" s="1" cm="1">
        <f t="array" ref="F1528">SUMPRODUCT(("T_TW-icegsl-S3"=[1]OUT_TransportEnergyCons!$A$3:$A$1000)*1,("var_fout"=[1]OUT_TransportEnergyCons!$B$3:$B$1000)*1,ISNUMBER(SEARCH("TPTWL",[1]OUT_TransportEnergyCons!$C$3:$C$1000))*1,[1]OUT_TransportEnergyCons!D$3:D$1000)</f>
        <v>0.11625068530489695</v>
      </c>
      <c r="G1528" s="1" cm="1">
        <f t="array" ref="G1528">SUMPRODUCT(("T_TW-icegsl-S3"=[1]OUT_TransportEnergyCons!$A$3:$A$1000)*1,("var_fout"=[1]OUT_TransportEnergyCons!$B$3:$B$1000)*1,ISNUMBER(SEARCH("TPTWL",[1]OUT_TransportEnergyCons!$C$3:$C$1000))*1,[1]OUT_TransportEnergyCons!E$3:E$1000)</f>
        <v>0.14397719653690733</v>
      </c>
      <c r="H1528" s="1" cm="1">
        <f t="array" ref="H1528">SUMPRODUCT(("T_TW-icegsl-S3"=[1]OUT_TransportEnergyCons!$A$3:$A$1000)*1,("var_fout"=[1]OUT_TransportEnergyCons!$B$3:$B$1000)*1,ISNUMBER(SEARCH("TPTWL",[1]OUT_TransportEnergyCons!$C$3:$C$1000))*1,[1]OUT_TransportEnergyCons!F$3:F$1000)</f>
        <v>0.14552966619832036</v>
      </c>
      <c r="I1528" s="1" cm="1">
        <f t="array" ref="I1528">SUMPRODUCT(("T_TW-icegsl-S3"=[1]OUT_TransportEnergyCons!$A$3:$A$1000)*1,("var_fout"=[1]OUT_TransportEnergyCons!$B$3:$B$1000)*1,ISNUMBER(SEARCH("TPTWL",[1]OUT_TransportEnergyCons!$C$3:$C$1000))*1,[1]OUT_TransportEnergyCons!G$3:G$1000)</f>
        <v>0.14373839893386475</v>
      </c>
      <c r="J1528" s="1" cm="1">
        <f t="array" ref="J1528">SUMPRODUCT(("T_TW-icegsl-S3"=[1]OUT_TransportEnergyCons!$A$3:$A$1000)*1,("var_fout"=[1]OUT_TransportEnergyCons!$B$3:$B$1000)*1,ISNUMBER(SEARCH("TPTWL",[1]OUT_TransportEnergyCons!$C$3:$C$1000))*1,[1]OUT_TransportEnergyCons!H$3:H$1000)</f>
        <v>3.3468682602660137E-2</v>
      </c>
      <c r="K1528" s="1" cm="1">
        <f t="array" ref="K1528">SUMPRODUCT(("T_TW-icegsl-S3"=[1]OUT_TransportEnergyCons!$A$3:$A$1000)*1,("var_fout"=[1]OUT_TransportEnergyCons!$B$3:$B$1000)*1,ISNUMBER(SEARCH("TPTWL",[1]OUT_TransportEnergyCons!$C$3:$C$1000))*1,[1]OUT_TransportEnergyCons!I$3:I$1000)</f>
        <v>1.0638821426215065E-4</v>
      </c>
    </row>
    <row r="1529" spans="2:11" x14ac:dyDescent="0.35">
      <c r="B1529" t="str">
        <f t="shared" si="997"/>
        <v>SPS1</v>
      </c>
      <c r="C1529" t="str">
        <f t="shared" si="998"/>
        <v>CH</v>
      </c>
      <c r="D1529" t="s">
        <v>1517</v>
      </c>
      <c r="E1529" t="str">
        <f t="shared" si="999"/>
        <v>Billion km/yr.</v>
      </c>
      <c r="F1529" s="1" cm="1">
        <f t="array" ref="F1529">SUMPRODUCT(("T_TW-icegsl-S4"=[1]OUT_TransportEnergyCons!$A$3:$A$1000)*1,("var_fout"=[1]OUT_TransportEnergyCons!$B$3:$B$1000)*1,ISNUMBER(SEARCH("TPTWL",[1]OUT_TransportEnergyCons!$C$3:$C$1000))*1,[1]OUT_TransportEnergyCons!D$3:D$1000)</f>
        <v>7.0589959723603823E-2</v>
      </c>
      <c r="G1529" s="1" cm="1">
        <f t="array" ref="G1529">SUMPRODUCT(("T_TW-icegsl-S4"=[1]OUT_TransportEnergyCons!$A$3:$A$1000)*1,("var_fout"=[1]OUT_TransportEnergyCons!$B$3:$B$1000)*1,ISNUMBER(SEARCH("TPTWL",[1]OUT_TransportEnergyCons!$C$3:$C$1000))*1,[1]OUT_TransportEnergyCons!E$3:E$1000)</f>
        <v>8.5144576641455819E-2</v>
      </c>
      <c r="H1529" s="1" cm="1">
        <f t="array" ref="H1529">SUMPRODUCT(("T_TW-icegsl-S4"=[1]OUT_TransportEnergyCons!$A$3:$A$1000)*1,("var_fout"=[1]OUT_TransportEnergyCons!$B$3:$B$1000)*1,ISNUMBER(SEARCH("TPTWL",[1]OUT_TransportEnergyCons!$C$3:$C$1000))*1,[1]OUT_TransportEnergyCons!F$3:F$1000)</f>
        <v>8.6058307475359239E-2</v>
      </c>
      <c r="I1529" s="1" cm="1">
        <f t="array" ref="I1529">SUMPRODUCT(("T_TW-icegsl-S4"=[1]OUT_TransportEnergyCons!$A$3:$A$1000)*1,("var_fout"=[1]OUT_TransportEnergyCons!$B$3:$B$1000)*1,ISNUMBER(SEARCH("TPTWL",[1]OUT_TransportEnergyCons!$C$3:$C$1000))*1,[1]OUT_TransportEnergyCons!G$3:G$1000)</f>
        <v>8.5129394883779796E-2</v>
      </c>
      <c r="J1529" s="1" cm="1">
        <f t="array" ref="J1529">SUMPRODUCT(("T_TW-icegsl-S4"=[1]OUT_TransportEnergyCons!$A$3:$A$1000)*1,("var_fout"=[1]OUT_TransportEnergyCons!$B$3:$B$1000)*1,ISNUMBER(SEARCH("TPTWL",[1]OUT_TransportEnergyCons!$C$3:$C$1000))*1,[1]OUT_TransportEnergyCons!H$3:H$1000)</f>
        <v>7.7208526936342892E-2</v>
      </c>
      <c r="K1529" s="1" cm="1">
        <f t="array" ref="K1529">SUMPRODUCT(("T_TW-icegsl-S4"=[1]OUT_TransportEnergyCons!$A$3:$A$1000)*1,("var_fout"=[1]OUT_TransportEnergyCons!$B$3:$B$1000)*1,ISNUMBER(SEARCH("TPTWL",[1]OUT_TransportEnergyCons!$C$3:$C$1000))*1,[1]OUT_TransportEnergyCons!I$3:I$1000)</f>
        <v>5.6303703374790948E-4</v>
      </c>
    </row>
    <row r="1530" spans="2:11" x14ac:dyDescent="0.35">
      <c r="B1530" s="9" t="str">
        <f t="shared" si="997"/>
        <v>SPS1</v>
      </c>
      <c r="C1530" s="9" t="str">
        <f t="shared" si="998"/>
        <v>CH</v>
      </c>
      <c r="D1530" s="2" t="s">
        <v>1519</v>
      </c>
      <c r="E1530" s="2" t="s">
        <v>1230</v>
      </c>
      <c r="F1530" s="23" t="s">
        <v>1528</v>
      </c>
      <c r="G1530" s="23" t="s">
        <v>1528</v>
      </c>
      <c r="H1530" s="23" t="s">
        <v>1528</v>
      </c>
      <c r="I1530" s="23" t="s">
        <v>1528</v>
      </c>
      <c r="J1530" s="23" t="s">
        <v>1528</v>
      </c>
      <c r="K1530" s="23" t="s">
        <v>1528</v>
      </c>
    </row>
    <row r="1531" spans="2:11" x14ac:dyDescent="0.35">
      <c r="B1531" t="str">
        <f t="shared" si="997"/>
        <v>SPS1</v>
      </c>
      <c r="C1531" t="str">
        <f t="shared" si="998"/>
        <v>CH</v>
      </c>
      <c r="D1531" t="s">
        <v>1520</v>
      </c>
      <c r="E1531" t="s">
        <v>1230</v>
      </c>
      <c r="F1531" s="1">
        <f t="shared" ref="F1531:K1534" si="1000">IFERROR(F1517/F1497,"-")</f>
        <v>11.098927012431902</v>
      </c>
      <c r="G1531" s="1">
        <f t="shared" si="1000"/>
        <v>11.106749123503045</v>
      </c>
      <c r="H1531" s="1">
        <f t="shared" si="1000"/>
        <v>11.108613928922669</v>
      </c>
      <c r="I1531" s="1">
        <f t="shared" si="1000"/>
        <v>11.119004599290699</v>
      </c>
      <c r="J1531" s="1">
        <f t="shared" si="1000"/>
        <v>11.578764745107987</v>
      </c>
      <c r="K1531" s="1">
        <f t="shared" si="1000"/>
        <v>11.913597761300817</v>
      </c>
    </row>
    <row r="1532" spans="2:11" x14ac:dyDescent="0.35">
      <c r="B1532" t="str">
        <f t="shared" si="997"/>
        <v>SPS1</v>
      </c>
      <c r="C1532" t="str">
        <f t="shared" si="998"/>
        <v>CH</v>
      </c>
      <c r="D1532" t="s">
        <v>1521</v>
      </c>
      <c r="E1532" t="s">
        <v>1230</v>
      </c>
      <c r="F1532" s="1">
        <f t="shared" si="1000"/>
        <v>6.2845243629360183</v>
      </c>
      <c r="G1532" s="1">
        <f t="shared" si="1000"/>
        <v>6.2881854808854065</v>
      </c>
      <c r="H1532" s="1">
        <f t="shared" si="1000"/>
        <v>6.291784100353234</v>
      </c>
      <c r="I1532" s="1">
        <f t="shared" si="1000"/>
        <v>6.3020180857885606</v>
      </c>
      <c r="J1532" s="1">
        <f t="shared" si="1000"/>
        <v>6.5407772093311554</v>
      </c>
      <c r="K1532" s="1">
        <f t="shared" si="1000"/>
        <v>6.641732278007634</v>
      </c>
    </row>
    <row r="1533" spans="2:11" x14ac:dyDescent="0.35">
      <c r="B1533" t="str">
        <f t="shared" si="997"/>
        <v>SPS1</v>
      </c>
      <c r="C1533" t="str">
        <f t="shared" si="998"/>
        <v>CH</v>
      </c>
      <c r="D1533" t="s">
        <v>1522</v>
      </c>
      <c r="E1533" t="s">
        <v>1230</v>
      </c>
      <c r="F1533" s="1">
        <f t="shared" si="1000"/>
        <v>4.0901432735634931</v>
      </c>
      <c r="G1533" s="1">
        <f t="shared" si="1000"/>
        <v>4.0970280392170535</v>
      </c>
      <c r="H1533" s="1">
        <f t="shared" si="1000"/>
        <v>4.1036341592985943</v>
      </c>
      <c r="I1533" s="1">
        <f t="shared" si="1000"/>
        <v>4.115704179635169</v>
      </c>
      <c r="J1533" s="1">
        <f t="shared" si="1000"/>
        <v>4.1886387246280092</v>
      </c>
      <c r="K1533" s="1">
        <f t="shared" si="1000"/>
        <v>4.3355957719361866</v>
      </c>
    </row>
    <row r="1534" spans="2:11" x14ac:dyDescent="0.35">
      <c r="B1534" t="str">
        <f t="shared" si="997"/>
        <v>SPS1</v>
      </c>
      <c r="C1534" t="str">
        <f t="shared" si="998"/>
        <v>CH</v>
      </c>
      <c r="D1534" t="s">
        <v>1523</v>
      </c>
      <c r="E1534" t="s">
        <v>1230</v>
      </c>
      <c r="F1534" s="1">
        <f t="shared" si="1000"/>
        <v>3.7650534829600404</v>
      </c>
      <c r="G1534" s="1">
        <f t="shared" si="1000"/>
        <v>3.775754871695201</v>
      </c>
      <c r="H1534" s="1">
        <f t="shared" si="1000"/>
        <v>3.7896594945661177</v>
      </c>
      <c r="I1534" s="1">
        <f t="shared" si="1000"/>
        <v>3.80772468645152</v>
      </c>
      <c r="J1534" s="1">
        <f t="shared" si="1000"/>
        <v>3.8626117892785761</v>
      </c>
      <c r="K1534" s="1">
        <f t="shared" si="1000"/>
        <v>3.9638098378083249</v>
      </c>
    </row>
    <row r="1535" spans="2:11" x14ac:dyDescent="0.35">
      <c r="B1535" t="str">
        <f t="shared" si="997"/>
        <v>SPS1</v>
      </c>
      <c r="C1535" t="str">
        <f t="shared" si="998"/>
        <v>CH</v>
      </c>
      <c r="D1535" t="s">
        <v>1524</v>
      </c>
      <c r="E1535" t="s">
        <v>1230</v>
      </c>
      <c r="F1535" s="1" t="str">
        <f t="shared" ref="F1535:K1538" si="1001">IFERROR(F1521/F1502,"-")</f>
        <v>-</v>
      </c>
      <c r="G1535" s="1" t="str">
        <f t="shared" si="1001"/>
        <v>-</v>
      </c>
      <c r="H1535" s="1" t="str">
        <f t="shared" si="1001"/>
        <v>-</v>
      </c>
      <c r="I1535" s="1">
        <f t="shared" si="1001"/>
        <v>4.6391179485367777</v>
      </c>
      <c r="J1535" s="1">
        <f t="shared" si="1001"/>
        <v>4.747561549771131</v>
      </c>
      <c r="K1535" s="1">
        <f t="shared" si="1001"/>
        <v>4.8740637946504473</v>
      </c>
    </row>
    <row r="1536" spans="2:11" x14ac:dyDescent="0.35">
      <c r="B1536" t="str">
        <f t="shared" si="997"/>
        <v>SPS1</v>
      </c>
      <c r="C1536" t="str">
        <f t="shared" si="998"/>
        <v>CH</v>
      </c>
      <c r="D1536" t="s">
        <v>1525</v>
      </c>
      <c r="E1536" t="s">
        <v>1230</v>
      </c>
      <c r="F1536" s="1" t="str">
        <f t="shared" si="1001"/>
        <v>-</v>
      </c>
      <c r="G1536" s="1" t="str">
        <f t="shared" si="1001"/>
        <v>-</v>
      </c>
      <c r="H1536" s="1" t="str">
        <f t="shared" si="1001"/>
        <v>-</v>
      </c>
      <c r="I1536" s="1">
        <f t="shared" si="1001"/>
        <v>2.7008868509993538</v>
      </c>
      <c r="J1536" s="1">
        <f t="shared" si="1001"/>
        <v>2.7518613756398183</v>
      </c>
      <c r="K1536" s="1">
        <f t="shared" si="1001"/>
        <v>2.8099320624826269</v>
      </c>
    </row>
    <row r="1537" spans="2:11" x14ac:dyDescent="0.35">
      <c r="B1537" t="str">
        <f t="shared" si="997"/>
        <v>SPS1</v>
      </c>
      <c r="C1537" t="str">
        <f t="shared" si="998"/>
        <v>CH</v>
      </c>
      <c r="D1537" t="s">
        <v>1526</v>
      </c>
      <c r="E1537" t="s">
        <v>1230</v>
      </c>
      <c r="F1537" s="1" t="str">
        <f t="shared" si="1001"/>
        <v>-</v>
      </c>
      <c r="G1537" s="1" t="str">
        <f t="shared" si="1001"/>
        <v>-</v>
      </c>
      <c r="H1537" s="1" t="str">
        <f t="shared" si="1001"/>
        <v>-</v>
      </c>
      <c r="I1537" s="1">
        <f t="shared" si="1001"/>
        <v>1.7606485351727308</v>
      </c>
      <c r="J1537" s="1">
        <f t="shared" si="1001"/>
        <v>1.7896157117414557</v>
      </c>
      <c r="K1537" s="1">
        <f t="shared" si="1001"/>
        <v>1.8228207596794217</v>
      </c>
    </row>
    <row r="1538" spans="2:11" x14ac:dyDescent="0.35">
      <c r="B1538" t="str">
        <f t="shared" si="997"/>
        <v>SPS1</v>
      </c>
      <c r="C1538" t="str">
        <f t="shared" si="998"/>
        <v>CH</v>
      </c>
      <c r="D1538" t="s">
        <v>1527</v>
      </c>
      <c r="E1538" t="s">
        <v>1230</v>
      </c>
      <c r="F1538" s="1" t="str">
        <f t="shared" si="1001"/>
        <v>-</v>
      </c>
      <c r="G1538" s="1" t="str">
        <f t="shared" si="1001"/>
        <v>-</v>
      </c>
      <c r="H1538" s="1" t="str">
        <f t="shared" si="1001"/>
        <v>-</v>
      </c>
      <c r="I1538" s="1">
        <f t="shared" si="1001"/>
        <v>1.5620411785777195</v>
      </c>
      <c r="J1538" s="1">
        <f t="shared" si="1001"/>
        <v>1.5924111975163213</v>
      </c>
      <c r="K1538" s="1">
        <f t="shared" si="1001"/>
        <v>1.6172882981742358</v>
      </c>
    </row>
    <row r="1539" spans="2:11" x14ac:dyDescent="0.35">
      <c r="B1539" t="str">
        <f t="shared" si="997"/>
        <v>SPS1</v>
      </c>
      <c r="C1539" t="str">
        <f t="shared" si="998"/>
        <v>CH</v>
      </c>
      <c r="D1539" t="s">
        <v>1583</v>
      </c>
      <c r="E1539" t="s">
        <v>1230</v>
      </c>
      <c r="F1539" s="1">
        <f t="shared" ref="F1539:K1543" si="1002">IFERROR(F1525/F1511,"-")</f>
        <v>0.7711651053457762</v>
      </c>
      <c r="G1539" s="1">
        <f t="shared" si="1002"/>
        <v>0.78723832996732002</v>
      </c>
      <c r="H1539" s="1">
        <f t="shared" si="1002"/>
        <v>0.81134816689963318</v>
      </c>
      <c r="I1539" s="1">
        <f t="shared" si="1002"/>
        <v>0.85153122845348883</v>
      </c>
      <c r="J1539" s="1" t="str">
        <f t="shared" si="1002"/>
        <v>-</v>
      </c>
      <c r="K1539" s="1" t="str">
        <f t="shared" si="1002"/>
        <v>-</v>
      </c>
    </row>
    <row r="1540" spans="2:11" x14ac:dyDescent="0.35">
      <c r="B1540" t="str">
        <f t="shared" si="997"/>
        <v>SPS1</v>
      </c>
      <c r="C1540" t="str">
        <f t="shared" si="998"/>
        <v>CH</v>
      </c>
      <c r="D1540" t="s">
        <v>1584</v>
      </c>
      <c r="E1540" t="s">
        <v>1230</v>
      </c>
      <c r="F1540" s="1">
        <f t="shared" si="1002"/>
        <v>1.9078836334110896</v>
      </c>
      <c r="G1540" s="1">
        <f t="shared" si="1002"/>
        <v>1.9209316620987444</v>
      </c>
      <c r="H1540" s="1">
        <f t="shared" si="1002"/>
        <v>1.9366177824228148</v>
      </c>
      <c r="I1540" s="1">
        <f t="shared" si="1002"/>
        <v>1.9724749397056771</v>
      </c>
      <c r="J1540" s="1">
        <f t="shared" si="1002"/>
        <v>2.0657293071638265</v>
      </c>
      <c r="K1540" s="1">
        <f t="shared" si="1002"/>
        <v>2.0781394477234381</v>
      </c>
    </row>
    <row r="1541" spans="2:11" x14ac:dyDescent="0.35">
      <c r="B1541" t="str">
        <f t="shared" si="997"/>
        <v>SPS1</v>
      </c>
      <c r="C1541" t="str">
        <f t="shared" si="998"/>
        <v>CH</v>
      </c>
      <c r="D1541" t="s">
        <v>1585</v>
      </c>
      <c r="E1541" t="s">
        <v>1230</v>
      </c>
      <c r="F1541" s="1">
        <f t="shared" si="1002"/>
        <v>1.1027629847473197</v>
      </c>
      <c r="G1541" s="1">
        <f t="shared" si="1002"/>
        <v>1.1042955076053873</v>
      </c>
      <c r="H1541" s="1">
        <f t="shared" si="1002"/>
        <v>1.1043135100701384</v>
      </c>
      <c r="I1541" s="1">
        <f t="shared" si="1002"/>
        <v>1.1046223525088663</v>
      </c>
      <c r="J1541" s="1">
        <f t="shared" si="1002"/>
        <v>1.1800189192827821</v>
      </c>
      <c r="K1541" s="1">
        <f t="shared" si="1002"/>
        <v>1.2110737928603057</v>
      </c>
    </row>
    <row r="1542" spans="2:11" x14ac:dyDescent="0.35">
      <c r="B1542" t="str">
        <f t="shared" si="997"/>
        <v>SPS1</v>
      </c>
      <c r="C1542" t="str">
        <f t="shared" si="998"/>
        <v>CH</v>
      </c>
      <c r="D1542" t="s">
        <v>1586</v>
      </c>
      <c r="E1542" t="s">
        <v>1230</v>
      </c>
      <c r="F1542" s="1">
        <f t="shared" si="1002"/>
        <v>0.72942698043636922</v>
      </c>
      <c r="G1542" s="1">
        <f t="shared" si="1002"/>
        <v>0.7301725992476733</v>
      </c>
      <c r="H1542" s="1">
        <f t="shared" si="1002"/>
        <v>0.73017877429651112</v>
      </c>
      <c r="I1542" s="1">
        <f t="shared" si="1002"/>
        <v>0.73019247477557525</v>
      </c>
      <c r="J1542" s="1">
        <f t="shared" si="1002"/>
        <v>0.73131268775384362</v>
      </c>
      <c r="K1542" s="1">
        <f t="shared" si="1002"/>
        <v>0.7919838991592113</v>
      </c>
    </row>
    <row r="1543" spans="2:11" x14ac:dyDescent="0.35">
      <c r="B1543" t="str">
        <f t="shared" si="997"/>
        <v>SPS1</v>
      </c>
      <c r="C1543" t="str">
        <f t="shared" si="998"/>
        <v>CH</v>
      </c>
      <c r="D1543" t="s">
        <v>1587</v>
      </c>
      <c r="E1543" t="s">
        <v>1230</v>
      </c>
      <c r="F1543" s="1">
        <f t="shared" si="1002"/>
        <v>0.67580166525687291</v>
      </c>
      <c r="G1543" s="1">
        <f t="shared" si="1002"/>
        <v>0.67641387750497595</v>
      </c>
      <c r="H1543" s="1">
        <f t="shared" si="1002"/>
        <v>0.67641930626530344</v>
      </c>
      <c r="I1543" s="1">
        <f t="shared" si="1002"/>
        <v>0.67642794211620016</v>
      </c>
      <c r="J1543" s="1">
        <f t="shared" si="1002"/>
        <v>0.67652078724593923</v>
      </c>
      <c r="K1543" s="1">
        <f t="shared" si="1002"/>
        <v>0.68400492345131225</v>
      </c>
    </row>
    <row r="1544" spans="2:11" x14ac:dyDescent="0.35">
      <c r="B1544" s="2" t="str">
        <f>B1543</f>
        <v>SPS1</v>
      </c>
      <c r="C1544" s="2" t="str">
        <f>C1543</f>
        <v>CH</v>
      </c>
      <c r="D1544" s="2" t="s">
        <v>1536</v>
      </c>
      <c r="E1544" s="2" t="s">
        <v>8</v>
      </c>
      <c r="F1544" s="3">
        <f>F1545+F1548+F1550+F1557+F1565</f>
        <v>16.700321703627257</v>
      </c>
      <c r="G1544" s="3">
        <f t="shared" ref="G1544:K1544" si="1003">G1545+G1548+G1550+G1557+G1565</f>
        <v>15.598522075224036</v>
      </c>
      <c r="H1544" s="3">
        <f t="shared" si="1003"/>
        <v>13.989395982987126</v>
      </c>
      <c r="I1544" s="3">
        <f t="shared" si="1003"/>
        <v>11.311660953818295</v>
      </c>
      <c r="J1544" s="3">
        <f t="shared" si="1003"/>
        <v>7.3338297848949994</v>
      </c>
      <c r="K1544" s="3">
        <f t="shared" si="1003"/>
        <v>7.9326604701531345</v>
      </c>
    </row>
    <row r="1545" spans="2:11" x14ac:dyDescent="0.35">
      <c r="B1545" t="str">
        <f t="shared" ref="B1545:B1590" si="1004">B1544</f>
        <v>SPS1</v>
      </c>
      <c r="C1545" t="str">
        <f t="shared" ref="C1545:C1590" si="1005">C1544</f>
        <v>CH</v>
      </c>
      <c r="D1545" t="s">
        <v>1537</v>
      </c>
      <c r="E1545" t="str">
        <f>E1544</f>
        <v>PJ/yr.</v>
      </c>
      <c r="F1545" s="1">
        <f>SUM(F1546:F1547)</f>
        <v>7.6012221156338045E-2</v>
      </c>
      <c r="G1545" s="1">
        <f t="shared" ref="G1545:K1545" si="1006">SUM(G1546:G1547)</f>
        <v>0.11369860742328747</v>
      </c>
      <c r="H1545" s="1">
        <f t="shared" si="1006"/>
        <v>0.1436225259554374</v>
      </c>
      <c r="I1545" s="1">
        <f t="shared" si="1006"/>
        <v>1.6883820643125775</v>
      </c>
      <c r="J1545" s="1">
        <f t="shared" si="1006"/>
        <v>7.3334946587995749</v>
      </c>
      <c r="K1545" s="1">
        <f t="shared" si="1006"/>
        <v>7.9326474238244034</v>
      </c>
    </row>
    <row r="1546" spans="2:11" x14ac:dyDescent="0.35">
      <c r="B1546" t="str">
        <f t="shared" si="1004"/>
        <v>SPS1</v>
      </c>
      <c r="C1546" t="str">
        <f t="shared" si="1005"/>
        <v>CH</v>
      </c>
      <c r="D1546" t="s">
        <v>1544</v>
      </c>
      <c r="E1546" t="str">
        <f t="shared" ref="E1546:E1570" si="1007">E1545</f>
        <v>PJ/yr.</v>
      </c>
      <c r="F1546" s="1" cm="1">
        <f t="array" ref="F1546">SUMPRODUCT(("TFLGV-BeVELCExt"=[1]OUT_TransportEnergyCons!$A$3:$A$1000)*1,("Var_Fin"=[1]OUT_TransportEnergyCons!$B$3:$B$1000)*1,ISNUMBER(SEARCH("ELC",[1]OUT_TransportEnergyCons!$C$3:$C$1000))*1,[1]OUT_TransportEnergyCons!D$3:D$1000)</f>
        <v>4.0523096900810053E-2</v>
      </c>
      <c r="G1546" s="1" cm="1">
        <f t="array" ref="G1546">SUMPRODUCT(("TFLGV-BeVELCExt"=[1]OUT_TransportEnergyCons!$A$3:$A$1000)*1,("Var_Fin"=[1]OUT_TransportEnergyCons!$B$3:$B$1000)*1,ISNUMBER(SEARCH("ELC",[1]OUT_TransportEnergyCons!$C$3:$C$1000))*1,[1]OUT_TransportEnergyCons!E$3:E$1000)</f>
        <v>3.4834679819820545E-2</v>
      </c>
      <c r="H1546" s="1" cm="1">
        <f t="array" ref="H1546">SUMPRODUCT(("TFLGV-BeVELCExt"=[1]OUT_TransportEnergyCons!$A$3:$A$1000)*1,("Var_Fin"=[1]OUT_TransportEnergyCons!$B$3:$B$1000)*1,ISNUMBER(SEARCH("ELC",[1]OUT_TransportEnergyCons!$C$3:$C$1000))*1,[1]OUT_TransportEnergyCons!F$3:F$1000)</f>
        <v>2.6409286713947121E-2</v>
      </c>
      <c r="I1546" s="1" cm="1">
        <f t="array" ref="I1546">SUMPRODUCT(("TFLGV-BeVELCExt"=[1]OUT_TransportEnergyCons!$A$3:$A$1000)*1,("Var_Fin"=[1]OUT_TransportEnergyCons!$B$3:$B$1000)*1,ISNUMBER(SEARCH("ELC",[1]OUT_TransportEnergyCons!$C$3:$C$1000))*1,[1]OUT_TransportEnergyCons!G$3:G$1000)</f>
        <v>1.3154460966022991E-2</v>
      </c>
      <c r="J1546" s="1" cm="1">
        <f t="array" ref="J1546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6" s="1" cm="1">
        <f t="array" ref="K1546">SUMPRODUCT(("TFLGV-BeVELCExt"=[1]OUT_TransportEnergyCons!$A$3:$A$1000)*1,("Var_Fin"=[1]OUT_TransportEnergyCons!$B$3:$B$1000)*1,ISNUMBER(SEARCH("ELC",[1]OUT_TransportEnergyCons!$C$3:$C$1000))*1,[1]OUT_TransportEnergyCons!I$3:I$1000)</f>
        <v>0</v>
      </c>
    </row>
    <row r="1547" spans="2:11" x14ac:dyDescent="0.35">
      <c r="B1547" t="str">
        <f t="shared" si="1004"/>
        <v>SPS1</v>
      </c>
      <c r="C1547" t="str">
        <f t="shared" si="1005"/>
        <v>CH</v>
      </c>
      <c r="D1547" t="s">
        <v>1545</v>
      </c>
      <c r="E1547" t="str">
        <f t="shared" si="1007"/>
        <v>PJ/yr.</v>
      </c>
      <c r="F1547" s="1" cm="1">
        <f t="array" ref="F1547">SUMPRODUCT(("TFLGV-BEVELC"=[1]OUT_TransportEnergyCons!$A$3:$A$1000)*1,("Var_Fin"=[1]OUT_TransportEnergyCons!$B$3:$B$1000)*1,ISNUMBER(SEARCH("ELC",[1]OUT_TransportEnergyCons!$C$3:$C$1000))*1,[1]OUT_TransportEnergyCons!D$3:D$1000)</f>
        <v>3.5489124255527985E-2</v>
      </c>
      <c r="G1547" s="1" cm="1">
        <f t="array" ref="G1547">SUMPRODUCT(("TFLGV-BEVELC"=[1]OUT_TransportEnergyCons!$A$3:$A$1000)*1,("Var_Fin"=[1]OUT_TransportEnergyCons!$B$3:$B$1000)*1,ISNUMBER(SEARCH("ELC",[1]OUT_TransportEnergyCons!$C$3:$C$1000))*1,[1]OUT_TransportEnergyCons!E$3:E$1000)</f>
        <v>7.8863927603466916E-2</v>
      </c>
      <c r="H1547" s="1" cm="1">
        <f t="array" ref="H1547">SUMPRODUCT(("TFLGV-BEVELC"=[1]OUT_TransportEnergyCons!$A$3:$A$1000)*1,("Var_Fin"=[1]OUT_TransportEnergyCons!$B$3:$B$1000)*1,ISNUMBER(SEARCH("ELC",[1]OUT_TransportEnergyCons!$C$3:$C$1000))*1,[1]OUT_TransportEnergyCons!F$3:F$1000)</f>
        <v>0.11721323924149027</v>
      </c>
      <c r="I1547" s="1" cm="1">
        <f t="array" ref="I1547">SUMPRODUCT(("TFLGV-BEVELC"=[1]OUT_TransportEnergyCons!$A$3:$A$1000)*1,("Var_Fin"=[1]OUT_TransportEnergyCons!$B$3:$B$1000)*1,ISNUMBER(SEARCH("ELC",[1]OUT_TransportEnergyCons!$C$3:$C$1000))*1,[1]OUT_TransportEnergyCons!G$3:G$1000)</f>
        <v>1.6752276033465545</v>
      </c>
      <c r="J1547" s="1" cm="1">
        <f t="array" ref="J1547">SUMPRODUCT(("TFLGV-BEVELC"=[1]OUT_TransportEnergyCons!$A$3:$A$1000)*1,("Var_Fin"=[1]OUT_TransportEnergyCons!$B$3:$B$1000)*1,ISNUMBER(SEARCH("ELC",[1]OUT_TransportEnergyCons!$C$3:$C$1000))*1,[1]OUT_TransportEnergyCons!H$3:H$1000)</f>
        <v>7.3334946587995749</v>
      </c>
      <c r="K1547" s="1" cm="1">
        <f t="array" ref="K1547">SUMPRODUCT(("TFLGV-BEVELC"=[1]OUT_TransportEnergyCons!$A$3:$A$1000)*1,("Var_Fin"=[1]OUT_TransportEnergyCons!$B$3:$B$1000)*1,ISNUMBER(SEARCH("ELC",[1]OUT_TransportEnergyCons!$C$3:$C$1000))*1,[1]OUT_TransportEnergyCons!I$3:I$1000)</f>
        <v>7.9326474238244034</v>
      </c>
    </row>
    <row r="1548" spans="2:11" x14ac:dyDescent="0.35">
      <c r="B1548" t="str">
        <f t="shared" si="1004"/>
        <v>SPS1</v>
      </c>
      <c r="C1548" t="str">
        <f t="shared" si="1005"/>
        <v>CH</v>
      </c>
      <c r="D1548" t="s">
        <v>1538</v>
      </c>
      <c r="E1548" t="str">
        <f t="shared" si="1007"/>
        <v>PJ/yr.</v>
      </c>
      <c r="F1548" s="1">
        <f>F1549</f>
        <v>0</v>
      </c>
      <c r="G1548" s="1">
        <f t="shared" ref="G1548:K1548" si="1008">G1549</f>
        <v>2.5686306907186135E-5</v>
      </c>
      <c r="H1548" s="1">
        <f t="shared" si="1008"/>
        <v>3.5876672104577688E-5</v>
      </c>
      <c r="I1548" s="1">
        <f t="shared" si="1008"/>
        <v>1.8246984548491258E-5</v>
      </c>
      <c r="J1548" s="1">
        <f t="shared" si="1008"/>
        <v>1.369972635034712E-5</v>
      </c>
      <c r="K1548" s="1">
        <f t="shared" si="1008"/>
        <v>1.3046328730998614E-5</v>
      </c>
    </row>
    <row r="1549" spans="2:11" x14ac:dyDescent="0.35">
      <c r="B1549" t="str">
        <f t="shared" si="1004"/>
        <v>SPS1</v>
      </c>
      <c r="C1549" t="str">
        <f t="shared" si="1005"/>
        <v>CH</v>
      </c>
      <c r="D1549" t="s">
        <v>1546</v>
      </c>
      <c r="E1549" t="str">
        <f t="shared" si="1007"/>
        <v>PJ/yr.</v>
      </c>
      <c r="F1549" s="1" cm="1">
        <f t="array" ref="F1549">SUMPRODUCT(("TFLGV-FCLH2O"=[1]OUT_TransportEnergyCons!$A$3:$A$1000)*1,("Var_Fin"=[1]OUT_TransportEnergyCons!$B$3:$B$1000)*1,ISNUMBER(SEARCH("h2",[1]OUT_TransportEnergyCons!$C$3:$C$1000))*1,[1]OUT_TransportEnergyCons!D$3:D$1000)</f>
        <v>0</v>
      </c>
      <c r="G1549" s="1" cm="1">
        <f t="array" ref="G1549">SUMPRODUCT(("TFLGV-FCLH2O"=[1]OUT_TransportEnergyCons!$A$3:$A$1000)*1,("Var_Fin"=[1]OUT_TransportEnergyCons!$B$3:$B$1000)*1,ISNUMBER(SEARCH("h2",[1]OUT_TransportEnergyCons!$C$3:$C$1000))*1,[1]OUT_TransportEnergyCons!E$3:E$1000)</f>
        <v>2.5686306907186135E-5</v>
      </c>
      <c r="H1549" s="1" cm="1">
        <f t="array" ref="H1549">SUMPRODUCT(("TFLGV-FCLH2O"=[1]OUT_TransportEnergyCons!$A$3:$A$1000)*1,("Var_Fin"=[1]OUT_TransportEnergyCons!$B$3:$B$1000)*1,ISNUMBER(SEARCH("h2",[1]OUT_TransportEnergyCons!$C$3:$C$1000))*1,[1]OUT_TransportEnergyCons!F$3:F$1000)</f>
        <v>3.5876672104577688E-5</v>
      </c>
      <c r="I1549" s="1" cm="1">
        <f t="array" ref="I1549">SUMPRODUCT(("TFLGV-FCLH2O"=[1]OUT_TransportEnergyCons!$A$3:$A$1000)*1,("Var_Fin"=[1]OUT_TransportEnergyCons!$B$3:$B$1000)*1,ISNUMBER(SEARCH("h2",[1]OUT_TransportEnergyCons!$C$3:$C$1000))*1,[1]OUT_TransportEnergyCons!G$3:G$1000)</f>
        <v>1.8246984548491258E-5</v>
      </c>
      <c r="J1549" s="1" cm="1">
        <f t="array" ref="J1549">SUMPRODUCT(("TFLGV-FCLH2O"=[1]OUT_TransportEnergyCons!$A$3:$A$1000)*1,("Var_Fin"=[1]OUT_TransportEnergyCons!$B$3:$B$1000)*1,ISNUMBER(SEARCH("h2",[1]OUT_TransportEnergyCons!$C$3:$C$1000))*1,[1]OUT_TransportEnergyCons!H$3:H$1000)</f>
        <v>1.369972635034712E-5</v>
      </c>
      <c r="K1549" s="1" cm="1">
        <f t="array" ref="K1549">SUMPRODUCT(("TFLGV-FCLH2O"=[1]OUT_TransportEnergyCons!$A$3:$A$1000)*1,("Var_Fin"=[1]OUT_TransportEnergyCons!$B$3:$B$1000)*1,ISNUMBER(SEARCH("h2",[1]OUT_TransportEnergyCons!$C$3:$C$1000))*1,[1]OUT_TransportEnergyCons!I$3:I$1000)</f>
        <v>1.3046328730998614E-5</v>
      </c>
    </row>
    <row r="1550" spans="2:11" x14ac:dyDescent="0.35">
      <c r="B1550" t="str">
        <f t="shared" si="1004"/>
        <v>SPS1</v>
      </c>
      <c r="C1550" t="str">
        <f t="shared" si="1005"/>
        <v>CH</v>
      </c>
      <c r="D1550" t="s">
        <v>1539</v>
      </c>
      <c r="E1550" t="str">
        <f t="shared" si="1007"/>
        <v>PJ/yr.</v>
      </c>
      <c r="F1550" s="1">
        <f>SUM(F1555:F1556)</f>
        <v>1.198305149208525</v>
      </c>
      <c r="G1550" s="1">
        <f t="shared" ref="G1550:K1550" si="1009">SUM(G1555:G1556)</f>
        <v>2.345356030867249</v>
      </c>
      <c r="H1550" s="1">
        <f t="shared" si="1009"/>
        <v>1.3114903814789516</v>
      </c>
      <c r="I1550" s="1">
        <f t="shared" si="1009"/>
        <v>1.6339516672615735</v>
      </c>
      <c r="J1550" s="1">
        <f t="shared" si="1009"/>
        <v>1.0780974059315468E-4</v>
      </c>
      <c r="K1550" s="1">
        <f t="shared" si="1009"/>
        <v>0</v>
      </c>
    </row>
    <row r="1551" spans="2:11" x14ac:dyDescent="0.35">
      <c r="B1551" t="str">
        <f t="shared" si="1004"/>
        <v>SPS1</v>
      </c>
      <c r="C1551" t="str">
        <f t="shared" si="1005"/>
        <v>CH</v>
      </c>
      <c r="D1551" t="s">
        <v>1540</v>
      </c>
      <c r="E1551" t="str">
        <f t="shared" si="1007"/>
        <v>PJ/yr.</v>
      </c>
      <c r="F1551" s="1">
        <f>F1550-F1552</f>
        <v>1.1327090975775016</v>
      </c>
      <c r="G1551" s="1">
        <f t="shared" ref="G1551:K1551" si="1010">G1550-G1552</f>
        <v>2.216965527335784</v>
      </c>
      <c r="H1551" s="1">
        <f t="shared" si="1010"/>
        <v>1.2396987225550824</v>
      </c>
      <c r="I1551" s="1">
        <f t="shared" si="1010"/>
        <v>1.544460247032311</v>
      </c>
      <c r="J1551" s="1">
        <f t="shared" si="1010"/>
        <v>6.6510401322083325E-5</v>
      </c>
      <c r="K1551" s="1">
        <f t="shared" si="1010"/>
        <v>0</v>
      </c>
    </row>
    <row r="1552" spans="2:11" x14ac:dyDescent="0.35">
      <c r="B1552" t="str">
        <f t="shared" si="1004"/>
        <v>SPS1</v>
      </c>
      <c r="C1552" t="str">
        <f t="shared" si="1005"/>
        <v>CH</v>
      </c>
      <c r="D1552" t="s">
        <v>1541</v>
      </c>
      <c r="E1552" t="str">
        <f t="shared" si="1007"/>
        <v>PJ/yr.</v>
      </c>
      <c r="F1552" s="1">
        <f>SUM(F1553:F1554)</f>
        <v>6.5596051631023375E-2</v>
      </c>
      <c r="G1552" s="1">
        <f t="shared" ref="G1552:K1552" si="1011">SUM(G1553:G1554)</f>
        <v>0.12839050353146478</v>
      </c>
      <c r="H1552" s="1">
        <f t="shared" si="1011"/>
        <v>7.179165892386917E-2</v>
      </c>
      <c r="I1552" s="1">
        <f t="shared" si="1011"/>
        <v>8.9491420229262389E-2</v>
      </c>
      <c r="J1552" s="1">
        <f t="shared" si="1011"/>
        <v>4.1299339271071359E-5</v>
      </c>
      <c r="K1552" s="1">
        <f t="shared" si="1011"/>
        <v>0</v>
      </c>
    </row>
    <row r="1553" spans="2:11" x14ac:dyDescent="0.35">
      <c r="B1553" t="str">
        <f t="shared" si="1004"/>
        <v>SPS1</v>
      </c>
      <c r="C1553" t="str">
        <f t="shared" si="1005"/>
        <v>CH</v>
      </c>
      <c r="D1553" t="s">
        <v>1542</v>
      </c>
      <c r="E1553" t="str">
        <f t="shared" si="1007"/>
        <v>PJ/yr.</v>
      </c>
      <c r="F1553" s="1">
        <f>[1]Transport!B$25/SUM([1]Transport!B$21,[1]Transport!B$25)*F1550*(F$34+F$598)/(F$34+F$598+F$37)</f>
        <v>6.5596051631023375E-2</v>
      </c>
      <c r="G1553" s="1">
        <f>[1]Transport!C$25/SUM([1]Transport!C$21,[1]Transport!C$25)*G1550*(G$34+G$598)/(G$34+G$598+G$37)</f>
        <v>0.12839050353146478</v>
      </c>
      <c r="H1553" s="1">
        <f>[1]Transport!D$25/SUM([1]Transport!D$21,[1]Transport!D$25)*H1550*(H$34+H$598)/(H$34+H$598+H$37)</f>
        <v>7.179165892386917E-2</v>
      </c>
      <c r="I1553" s="1">
        <f>[1]Transport!E$25/SUM([1]Transport!E$21,[1]Transport!E$25)*I1550*(I$34+I$598)/(I$34+I$598+I$37)</f>
        <v>8.9491420229262389E-2</v>
      </c>
      <c r="J1553" s="1">
        <f>[1]Transport!F$25/SUM([1]Transport!F$21,[1]Transport!F$25)*J1550*(J$34+J$598)/(J$34+J$598+J$37)</f>
        <v>4.0362859923818849E-5</v>
      </c>
      <c r="K1553" s="1">
        <f>[1]Transport!G$25/SUM([1]Transport!G$21,[1]Transport!G$25)*K1550*(K$34+K$598)/(K$34+K$598+K$37)</f>
        <v>0</v>
      </c>
    </row>
    <row r="1554" spans="2:11" x14ac:dyDescent="0.35">
      <c r="B1554" t="str">
        <f t="shared" si="1004"/>
        <v>SPS1</v>
      </c>
      <c r="C1554" t="str">
        <f t="shared" si="1005"/>
        <v>CH</v>
      </c>
      <c r="D1554" t="s">
        <v>1543</v>
      </c>
      <c r="E1554" t="str">
        <f t="shared" si="1007"/>
        <v>PJ/yr.</v>
      </c>
      <c r="F1554" s="1">
        <f>(F$37+F$717)/([1]Transport!B$21+[1]Transport!B$25)*F1550</f>
        <v>0</v>
      </c>
      <c r="G1554" s="1">
        <f>(G$37+G$717)/([1]Transport!C$21+[1]Transport!C$25)*G1550</f>
        <v>0</v>
      </c>
      <c r="H1554" s="1">
        <f>(H$37+H$717)/([1]Transport!D$21+[1]Transport!D$25)*H1550</f>
        <v>0</v>
      </c>
      <c r="I1554" s="1">
        <f>(I$37+I$717)/([1]Transport!E$21+[1]Transport!E$25)*I1550</f>
        <v>0</v>
      </c>
      <c r="J1554" s="1">
        <f>(J$37+J$717)/([1]Transport!F$21+[1]Transport!F$25)*J1550</f>
        <v>9.3647934725250676E-7</v>
      </c>
      <c r="K1554" s="1">
        <f>(K$37+K$717)/([1]Transport!G$21+[1]Transport!G$25)*K1550</f>
        <v>0</v>
      </c>
    </row>
    <row r="1555" spans="2:11" x14ac:dyDescent="0.35">
      <c r="B1555" t="str">
        <f t="shared" si="1004"/>
        <v>SPS1</v>
      </c>
      <c r="C1555" t="str">
        <f t="shared" si="1005"/>
        <v>CH</v>
      </c>
      <c r="D1555" t="s">
        <v>1589</v>
      </c>
      <c r="E1555" t="str">
        <f t="shared" si="1007"/>
        <v>PJ/yr.</v>
      </c>
      <c r="F1555" s="1" cm="1">
        <f t="array" ref="F1555">SUMPRODUCT(("TFLGV-ICEGSLExt"=[1]OUT_TransportEnergyCons!$A$3:$A$1000)*1,("Var_Fin"=[1]OUT_TransportEnergyCons!$B$3:$B$1000)*1,ISNUMBER(SEARCH("gsl",[1]OUT_TransportEnergyCons!$C$3:$C$1000))*1,[1]OUT_TransportEnergyCons!D$3:D$1000)</f>
        <v>0.83236084540266697</v>
      </c>
      <c r="G1555" s="1" cm="1">
        <f t="array" ref="G1555">SUMPRODUCT(("TFLGV-ICEGSLExt"=[1]OUT_TransportEnergyCons!$A$3:$A$1000)*1,("Var_Fin"=[1]OUT_TransportEnergyCons!$B$3:$B$1000)*1,ISNUMBER(SEARCH("gsl",[1]OUT_TransportEnergyCons!$C$3:$C$1000))*1,[1]OUT_TransportEnergyCons!E$3:E$1000)</f>
        <v>1.7667231174406526</v>
      </c>
      <c r="H1555" s="1" cm="1">
        <f t="array" ref="H1555">SUMPRODUCT(("TFLGV-ICEGSLExt"=[1]OUT_TransportEnergyCons!$A$3:$A$1000)*1,("Var_Fin"=[1]OUT_TransportEnergyCons!$B$3:$B$1000)*1,ISNUMBER(SEARCH("gsl",[1]OUT_TransportEnergyCons!$C$3:$C$1000))*1,[1]OUT_TransportEnergyCons!F$3:F$1000)</f>
        <v>0.54214832882565489</v>
      </c>
      <c r="I1555" s="1" cm="1">
        <f t="array" ref="I1555">SUMPRODUCT(("TFLGV-ICEGSLExt"=[1]OUT_TransportEnergyCons!$A$3:$A$1000)*1,("Var_Fin"=[1]OUT_TransportEnergyCons!$B$3:$B$1000)*1,ISNUMBER(SEARCH("gsl",[1]OUT_TransportEnergyCons!$C$3:$C$1000))*1,[1]OUT_TransportEnergyCons!G$3:G$1000)</f>
        <v>0.27090865989688623</v>
      </c>
      <c r="J1555" s="1" cm="1">
        <f t="array" ref="J1555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5" s="1" cm="1">
        <f t="array" ref="K1555">SUMPRODUCT(("TFLGV-ICEGSLExt"=[1]OUT_TransportEnergyCons!$A$3:$A$1000)*1,("Var_Fin"=[1]OUT_TransportEnergyCons!$B$3:$B$1000)*1,ISNUMBER(SEARCH("gsl",[1]OUT_TransportEnergyCons!$C$3:$C$1000))*1,[1]OUT_TransportEnergyCons!I$3:I$1000)</f>
        <v>0</v>
      </c>
    </row>
    <row r="1556" spans="2:11" x14ac:dyDescent="0.35">
      <c r="B1556" t="str">
        <f t="shared" si="1004"/>
        <v>SPS1</v>
      </c>
      <c r="C1556" t="str">
        <f t="shared" si="1005"/>
        <v>CH</v>
      </c>
      <c r="D1556" t="s">
        <v>1588</v>
      </c>
      <c r="E1556" t="str">
        <f t="shared" si="1007"/>
        <v>PJ/yr.</v>
      </c>
      <c r="F1556" s="1" cm="1">
        <f t="array" ref="F1556">SUMPRODUCT(("TFLGV-ICEGSL"=[1]OUT_TransportEnergyCons!$A$3:$A$1000)*1,("Var_Fin"=[1]OUT_TransportEnergyCons!$B$3:$B$1000)*1,ISNUMBER(SEARCH("gsl",[1]OUT_TransportEnergyCons!$C$3:$C$1000))*1,[1]OUT_TransportEnergyCons!D$3:D$1000)</f>
        <v>0.36594430380585796</v>
      </c>
      <c r="G1556" s="1" cm="1">
        <f t="array" ref="G1556">SUMPRODUCT(("TFLGV-ICEGSL"=[1]OUT_TransportEnergyCons!$A$3:$A$1000)*1,("Var_Fin"=[1]OUT_TransportEnergyCons!$B$3:$B$1000)*1,ISNUMBER(SEARCH("gsl",[1]OUT_TransportEnergyCons!$C$3:$C$1000))*1,[1]OUT_TransportEnergyCons!E$3:E$1000)</f>
        <v>0.57863291342659651</v>
      </c>
      <c r="H1556" s="1" cm="1">
        <f t="array" ref="H1556">SUMPRODUCT(("TFLGV-ICEGSL"=[1]OUT_TransportEnergyCons!$A$3:$A$1000)*1,("Var_Fin"=[1]OUT_TransportEnergyCons!$B$3:$B$1000)*1,ISNUMBER(SEARCH("gsl",[1]OUT_TransportEnergyCons!$C$3:$C$1000))*1,[1]OUT_TransportEnergyCons!F$3:F$1000)</f>
        <v>0.76934205265329669</v>
      </c>
      <c r="I1556" s="1" cm="1">
        <f t="array" ref="I1556">SUMPRODUCT(("TFLGV-ICEGSL"=[1]OUT_TransportEnergyCons!$A$3:$A$1000)*1,("Var_Fin"=[1]OUT_TransportEnergyCons!$B$3:$B$1000)*1,ISNUMBER(SEARCH("gsl",[1]OUT_TransportEnergyCons!$C$3:$C$1000))*1,[1]OUT_TransportEnergyCons!G$3:G$1000)</f>
        <v>1.3630430073646873</v>
      </c>
      <c r="J1556" s="1" cm="1">
        <f t="array" ref="J1556">SUMPRODUCT(("TFLGV-ICEGSL"=[1]OUT_TransportEnergyCons!$A$3:$A$1000)*1,("Var_Fin"=[1]OUT_TransportEnergyCons!$B$3:$B$1000)*1,ISNUMBER(SEARCH("gsl",[1]OUT_TransportEnergyCons!$C$3:$C$1000))*1,[1]OUT_TransportEnergyCons!H$3:H$1000)</f>
        <v>1.0780974059315468E-4</v>
      </c>
      <c r="K1556" s="1" cm="1">
        <f t="array" ref="K1556">SUMPRODUCT(("TFLGV-ICEGSL"=[1]OUT_TransportEnergyCons!$A$3:$A$1000)*1,("Var_Fin"=[1]OUT_TransportEnergyCons!$B$3:$B$1000)*1,ISNUMBER(SEARCH("gsl",[1]OUT_TransportEnergyCons!$C$3:$C$1000))*1,[1]OUT_TransportEnergyCons!I$3:I$1000)</f>
        <v>0</v>
      </c>
    </row>
    <row r="1557" spans="2:11" x14ac:dyDescent="0.35">
      <c r="B1557" t="str">
        <f t="shared" si="1004"/>
        <v>SPS1</v>
      </c>
      <c r="C1557" t="str">
        <f t="shared" si="1005"/>
        <v>CH</v>
      </c>
      <c r="D1557" t="s">
        <v>1547</v>
      </c>
      <c r="E1557" t="str">
        <f t="shared" si="1007"/>
        <v>PJ/yr.</v>
      </c>
      <c r="F1557" s="1">
        <f>SUM(F1562:F1564)</f>
        <v>15.400425839170538</v>
      </c>
      <c r="G1557" s="1">
        <f t="shared" ref="G1557:K1557" si="1012">SUM(G1562:G1564)</f>
        <v>13.117068787357599</v>
      </c>
      <c r="H1557" s="1">
        <f t="shared" si="1012"/>
        <v>12.502762182375536</v>
      </c>
      <c r="I1557" s="1">
        <f t="shared" si="1012"/>
        <v>7.9891976639772118</v>
      </c>
      <c r="J1557" s="1">
        <f t="shared" si="1012"/>
        <v>2.0732990775656492E-4</v>
      </c>
      <c r="K1557" s="1">
        <f t="shared" si="1012"/>
        <v>0</v>
      </c>
    </row>
    <row r="1558" spans="2:11" x14ac:dyDescent="0.35">
      <c r="B1558" t="str">
        <f t="shared" si="1004"/>
        <v>SPS1</v>
      </c>
      <c r="C1558" t="str">
        <f t="shared" si="1005"/>
        <v>CH</v>
      </c>
      <c r="D1558" t="s">
        <v>1548</v>
      </c>
      <c r="E1558" t="str">
        <f t="shared" si="1007"/>
        <v>PJ/yr.</v>
      </c>
      <c r="F1558" s="1">
        <f>F1557-F1559</f>
        <v>15.017743951932781</v>
      </c>
      <c r="G1558" s="1">
        <f t="shared" ref="G1558:K1558" si="1013">G1557-G1559</f>
        <v>12.775228505882287</v>
      </c>
      <c r="H1558" s="1">
        <f t="shared" si="1013"/>
        <v>11.94169087274871</v>
      </c>
      <c r="I1558" s="1">
        <f t="shared" si="1013"/>
        <v>7.556909323189724</v>
      </c>
      <c r="J1558" s="1">
        <f t="shared" si="1013"/>
        <v>6.1698729707589252E-5</v>
      </c>
      <c r="K1558" s="1">
        <f t="shared" si="1013"/>
        <v>0</v>
      </c>
    </row>
    <row r="1559" spans="2:11" x14ac:dyDescent="0.35">
      <c r="B1559" t="str">
        <f t="shared" si="1004"/>
        <v>SPS1</v>
      </c>
      <c r="C1559" t="str">
        <f t="shared" si="1005"/>
        <v>CH</v>
      </c>
      <c r="D1559" t="s">
        <v>1549</v>
      </c>
      <c r="E1559" t="str">
        <f t="shared" si="1007"/>
        <v>PJ/yr.</v>
      </c>
      <c r="F1559" s="1">
        <f>SUM(F1560:F1561)</f>
        <v>0.38268188723775615</v>
      </c>
      <c r="G1559" s="1">
        <f t="shared" ref="G1559:K1559" si="1014">SUM(G1560:G1561)</f>
        <v>0.34184028147531109</v>
      </c>
      <c r="H1559" s="1">
        <f t="shared" si="1014"/>
        <v>0.56107130962682605</v>
      </c>
      <c r="I1559" s="1">
        <f t="shared" si="1014"/>
        <v>0.43228834078748807</v>
      </c>
      <c r="J1559" s="1">
        <f t="shared" si="1014"/>
        <v>1.4563117804897567E-4</v>
      </c>
      <c r="K1559" s="1">
        <f t="shared" si="1014"/>
        <v>0</v>
      </c>
    </row>
    <row r="1560" spans="2:11" x14ac:dyDescent="0.35">
      <c r="B1560" t="str">
        <f t="shared" si="1004"/>
        <v>SPS1</v>
      </c>
      <c r="C1560" t="str">
        <f t="shared" si="1005"/>
        <v>CH</v>
      </c>
      <c r="D1560" t="s">
        <v>1550</v>
      </c>
      <c r="E1560" t="str">
        <f t="shared" si="1007"/>
        <v>PJ/yr.</v>
      </c>
      <c r="F1560" s="1">
        <f>[1]Transport!B$26/SUM([1]Transport!B$22,[1]Transport!B$26)*F1557*(F$33+F$580)/(F$33+F$580+F$36)</f>
        <v>0.38268188723775615</v>
      </c>
      <c r="G1560" s="1">
        <f>[1]Transport!C$26/SUM([1]Transport!C$22,[1]Transport!C$26)*G1557*(G$33+G$580)/(G$33+G$580+G$36)</f>
        <v>0.34184028147531109</v>
      </c>
      <c r="H1560" s="1">
        <f>[1]Transport!D$26/SUM([1]Transport!D$22,[1]Transport!D$26)*H1557*(H$33+H$580)/(H$33+H$580+H$36)</f>
        <v>0.56107130962682605</v>
      </c>
      <c r="I1560" s="1">
        <f>[1]Transport!E$26/SUM([1]Transport!E$22,[1]Transport!E$26)*I1557*(I$33+I$580)/(I$33+I$580+I$36)</f>
        <v>0.43228834078748807</v>
      </c>
      <c r="J1560" s="1">
        <f>[1]Transport!F$26/SUM([1]Transport!F$22,[1]Transport!F$26)*J1557*(J$33+J$580)/(J$33+J$580+J$36)</f>
        <v>5.7961383606184117E-6</v>
      </c>
      <c r="K1560" s="1">
        <f>[1]Transport!G$26/SUM([1]Transport!G$22,[1]Transport!G$26)*K1557*(K$33+K$580)/(K$33+K$580+K$36)</f>
        <v>0</v>
      </c>
    </row>
    <row r="1561" spans="2:11" x14ac:dyDescent="0.35">
      <c r="B1561" t="str">
        <f t="shared" si="1004"/>
        <v>SPS1</v>
      </c>
      <c r="C1561" t="str">
        <f t="shared" si="1005"/>
        <v>CH</v>
      </c>
      <c r="D1561" t="s">
        <v>1551</v>
      </c>
      <c r="E1561" t="str">
        <f t="shared" si="1007"/>
        <v>PJ/yr.</v>
      </c>
      <c r="F1561" s="1">
        <f>(F$36+F$716)/([1]Transport!B$22+[1]Transport!B$26)*F1557</f>
        <v>0</v>
      </c>
      <c r="G1561" s="1">
        <f>(G$36+G$716)/([1]Transport!C$22+[1]Transport!C$26)*G1557</f>
        <v>0</v>
      </c>
      <c r="H1561" s="1">
        <f>(H$36+H$716)/([1]Transport!D$22+[1]Transport!D$26)*H1557</f>
        <v>0</v>
      </c>
      <c r="I1561" s="1">
        <f>(I$36+I$716)/([1]Transport!E$22+[1]Transport!E$26)*I1557</f>
        <v>0</v>
      </c>
      <c r="J1561" s="1">
        <f>(J$36+J$716)/([1]Transport!F$22+[1]Transport!F$26)*J1557</f>
        <v>1.3983503968835725E-4</v>
      </c>
      <c r="K1561" s="1">
        <f>(K$36+K$716)/([1]Transport!G$22+[1]Transport!G$26)*K1557</f>
        <v>0</v>
      </c>
    </row>
    <row r="1562" spans="2:11" x14ac:dyDescent="0.35">
      <c r="B1562" t="str">
        <f t="shared" si="1004"/>
        <v>SPS1</v>
      </c>
      <c r="C1562" t="str">
        <f t="shared" si="1005"/>
        <v>CH</v>
      </c>
      <c r="D1562" t="s">
        <v>1552</v>
      </c>
      <c r="E1562" t="str">
        <f t="shared" si="1007"/>
        <v>PJ/yr.</v>
      </c>
      <c r="F1562" s="1" cm="1">
        <f t="array" ref="F1562">SUMPRODUCT(("TFLGV-ICEdslExt"=[1]OUT_TransportEnergyCons!$A$3:$A$1000)*1,("Var_Fin"=[1]OUT_TransportEnergyCons!$B$3:$B$1000)*1,ISNUMBER(SEARCH("dsl",[1]OUT_TransportEnergyCons!$C$3:$C$1000))*1,[1]OUT_TransportEnergyCons!D$3:D$1000)</f>
        <v>10.952141453091071</v>
      </c>
      <c r="G1562" s="1" cm="1">
        <f t="array" ref="G1562">SUMPRODUCT(("TFLGV-ICEdslExt"=[1]OUT_TransportEnergyCons!$A$3:$A$1000)*1,("Var_Fin"=[1]OUT_TransportEnergyCons!$B$3:$B$1000)*1,ISNUMBER(SEARCH("dsl",[1]OUT_TransportEnergyCons!$C$3:$C$1000))*1,[1]OUT_TransportEnergyCons!E$3:E$1000)</f>
        <v>7.4389243729746557</v>
      </c>
      <c r="H1562" s="1" cm="1">
        <f t="array" ref="H1562">SUMPRODUCT(("TFLGV-ICEdslExt"=[1]OUT_TransportEnergyCons!$A$3:$A$1000)*1,("Var_Fin"=[1]OUT_TransportEnergyCons!$B$3:$B$1000)*1,ISNUMBER(SEARCH("dsl",[1]OUT_TransportEnergyCons!$C$3:$C$1000))*1,[1]OUT_TransportEnergyCons!F$3:F$1000)</f>
        <v>5.4512403547701522</v>
      </c>
      <c r="I1562" s="1" cm="1">
        <f t="array" ref="I1562">SUMPRODUCT(("TFLGV-ICEdslExt"=[1]OUT_TransportEnergyCons!$A$3:$A$1000)*1,("Var_Fin"=[1]OUT_TransportEnergyCons!$B$3:$B$1000)*1,ISNUMBER(SEARCH("dsl",[1]OUT_TransportEnergyCons!$C$3:$C$1000))*1,[1]OUT_TransportEnergyCons!G$3:G$1000)</f>
        <v>2.7253655382075932</v>
      </c>
      <c r="J1562" s="1" cm="1">
        <f t="array" ref="J1562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2" s="1" cm="1">
        <f t="array" ref="K1562">SUMPRODUCT(("TFLGV-ICEdslExt"=[1]OUT_TransportEnergyCons!$A$3:$A$1000)*1,("Var_Fin"=[1]OUT_TransportEnergyCons!$B$3:$B$1000)*1,ISNUMBER(SEARCH("dsl",[1]OUT_TransportEnergyCons!$C$3:$C$1000))*1,[1]OUT_TransportEnergyCons!I$3:I$1000)</f>
        <v>0</v>
      </c>
    </row>
    <row r="1563" spans="2:11" x14ac:dyDescent="0.35">
      <c r="B1563" t="str">
        <f t="shared" si="1004"/>
        <v>SPS1</v>
      </c>
      <c r="C1563" t="str">
        <f t="shared" si="1005"/>
        <v>CH</v>
      </c>
      <c r="D1563" t="s">
        <v>1553</v>
      </c>
      <c r="E1563" t="str">
        <f t="shared" si="1007"/>
        <v>PJ/yr.</v>
      </c>
      <c r="F1563" s="1" cm="1">
        <f t="array" ref="F1563">SUMPRODUCT(("TFLGV-ICEdsl"=[1]OUT_TransportEnergyCons!$A$3:$A$1000)*1,("Var_Fin"=[1]OUT_TransportEnergyCons!$B$3:$B$1000)*1,ISNUMBER(SEARCH("dsl",[1]OUT_TransportEnergyCons!$C$3:$C$1000))*1,[1]OUT_TransportEnergyCons!D$3:D$1000)</f>
        <v>4.4482843860794672</v>
      </c>
      <c r="G1563" s="1" cm="1">
        <f t="array" ref="G1563">SUMPRODUCT(("TFLGV-ICEdsl"=[1]OUT_TransportEnergyCons!$A$3:$A$1000)*1,("Var_Fin"=[1]OUT_TransportEnergyCons!$B$3:$B$1000)*1,ISNUMBER(SEARCH("dsl",[1]OUT_TransportEnergyCons!$C$3:$C$1000))*1,[1]OUT_TransportEnergyCons!E$3:E$1000)</f>
        <v>5.2483504220694792</v>
      </c>
      <c r="H1563" s="1" cm="1">
        <f t="array" ref="H1563">SUMPRODUCT(("TFLGV-ICEdsl"=[1]OUT_TransportEnergyCons!$A$3:$A$1000)*1,("Var_Fin"=[1]OUT_TransportEnergyCons!$B$3:$B$1000)*1,ISNUMBER(SEARCH("dsl",[1]OUT_TransportEnergyCons!$C$3:$C$1000))*1,[1]OUT_TransportEnergyCons!F$3:F$1000)</f>
        <v>5.1021130980622535</v>
      </c>
      <c r="I1563" s="1" cm="1">
        <f t="array" ref="I1563">SUMPRODUCT(("TFLGV-ICEdsl"=[1]OUT_TransportEnergyCons!$A$3:$A$1000)*1,("Var_Fin"=[1]OUT_TransportEnergyCons!$B$3:$B$1000)*1,ISNUMBER(SEARCH("dsl",[1]OUT_TransportEnergyCons!$C$3:$C$1000))*1,[1]OUT_TransportEnergyCons!G$3:G$1000)</f>
        <v>2.0847355018512479</v>
      </c>
      <c r="J1563" s="1" cm="1">
        <f t="array" ref="J1563">SUMPRODUCT(("TFLGV-ICEdsl"=[1]OUT_TransportEnergyCons!$A$3:$A$1000)*1,("Var_Fin"=[1]OUT_TransportEnergyCons!$B$3:$B$1000)*1,ISNUMBER(SEARCH("dsl",[1]OUT_TransportEnergyCons!$C$3:$C$1000))*1,[1]OUT_TransportEnergyCons!H$3:H$1000)</f>
        <v>1.0789640050439518E-4</v>
      </c>
      <c r="K1563" s="1" cm="1">
        <f t="array" ref="K1563">SUMPRODUCT(("TFLGV-ICEdsl"=[1]OUT_TransportEnergyCons!$A$3:$A$1000)*1,("Var_Fin"=[1]OUT_TransportEnergyCons!$B$3:$B$1000)*1,ISNUMBER(SEARCH("dsl",[1]OUT_TransportEnergyCons!$C$3:$C$1000))*1,[1]OUT_TransportEnergyCons!I$3:I$1000)</f>
        <v>0</v>
      </c>
    </row>
    <row r="1564" spans="2:11" x14ac:dyDescent="0.35">
      <c r="B1564" t="str">
        <f t="shared" si="1004"/>
        <v>SPS1</v>
      </c>
      <c r="C1564" t="str">
        <f t="shared" si="1005"/>
        <v>CH</v>
      </c>
      <c r="D1564" t="s">
        <v>1554</v>
      </c>
      <c r="E1564" t="str">
        <f t="shared" si="1007"/>
        <v>PJ/yr.</v>
      </c>
      <c r="F1564" s="1" cm="1">
        <f t="array" ref="F1564">SUMPRODUCT(("TFLGV-HYBDSL"=[1]OUT_TransportEnergyCons!$A$3:$A$1000)*1,("Var_Fin"=[1]OUT_TransportEnergyCons!$B$3:$B$1000)*1,ISNUMBER(SEARCH("dsl",[1]OUT_TransportEnergyCons!$C$3:$C$1000))*1,[1]OUT_TransportEnergyCons!D$3:D$1000)</f>
        <v>0</v>
      </c>
      <c r="G1564" s="1" cm="1">
        <f t="array" ref="G1564">SUMPRODUCT(("TFLGV-HYBDSL"=[1]OUT_TransportEnergyCons!$A$3:$A$1000)*1,("Var_Fin"=[1]OUT_TransportEnergyCons!$B$3:$B$1000)*1,ISNUMBER(SEARCH("dsl",[1]OUT_TransportEnergyCons!$C$3:$C$1000))*1,[1]OUT_TransportEnergyCons!E$3:E$1000)</f>
        <v>0.42979399231346282</v>
      </c>
      <c r="H1564" s="1" cm="1">
        <f t="array" ref="H1564">SUMPRODUCT(("TFLGV-HYBDSL"=[1]OUT_TransportEnergyCons!$A$3:$A$1000)*1,("Var_Fin"=[1]OUT_TransportEnergyCons!$B$3:$B$1000)*1,ISNUMBER(SEARCH("dsl",[1]OUT_TransportEnergyCons!$C$3:$C$1000))*1,[1]OUT_TransportEnergyCons!F$3:F$1000)</f>
        <v>1.9494087295431293</v>
      </c>
      <c r="I1564" s="1" cm="1">
        <f t="array" ref="I1564">SUMPRODUCT(("TFLGV-HYBDSL"=[1]OUT_TransportEnergyCons!$A$3:$A$1000)*1,("Var_Fin"=[1]OUT_TransportEnergyCons!$B$3:$B$1000)*1,ISNUMBER(SEARCH("dsl",[1]OUT_TransportEnergyCons!$C$3:$C$1000))*1,[1]OUT_TransportEnergyCons!G$3:G$1000)</f>
        <v>3.1790966239183711</v>
      </c>
      <c r="J1564" s="1" cm="1">
        <f t="array" ref="J1564">SUMPRODUCT(("TFLGV-HYBDSL"=[1]OUT_TransportEnergyCons!$A$3:$A$1000)*1,("Var_Fin"=[1]OUT_TransportEnergyCons!$B$3:$B$1000)*1,ISNUMBER(SEARCH("dsl",[1]OUT_TransportEnergyCons!$C$3:$C$1000))*1,[1]OUT_TransportEnergyCons!H$3:H$1000)</f>
        <v>9.943350725216976E-5</v>
      </c>
      <c r="K1564" s="1" cm="1">
        <f t="array" ref="K1564">SUMPRODUCT(("TFLGV-HYBDSL"=[1]OUT_TransportEnergyCons!$A$3:$A$1000)*1,("Var_Fin"=[1]OUT_TransportEnergyCons!$B$3:$B$1000)*1,ISNUMBER(SEARCH("dsl",[1]OUT_TransportEnergyCons!$C$3:$C$1000))*1,[1]OUT_TransportEnergyCons!I$3:I$1000)</f>
        <v>0</v>
      </c>
    </row>
    <row r="1565" spans="2:11" x14ac:dyDescent="0.35">
      <c r="B1565" t="str">
        <f t="shared" si="1004"/>
        <v>SPS1</v>
      </c>
      <c r="C1565" t="str">
        <f t="shared" si="1005"/>
        <v>CH</v>
      </c>
      <c r="D1565" t="s">
        <v>1555</v>
      </c>
      <c r="E1565" t="str">
        <f t="shared" si="1007"/>
        <v>PJ/yr.</v>
      </c>
      <c r="F1565" s="1">
        <f>F1570</f>
        <v>2.5578494091858101E-2</v>
      </c>
      <c r="G1565" s="1">
        <f t="shared" ref="G1565:K1565" si="1015">G1570</f>
        <v>2.2372963268992539E-2</v>
      </c>
      <c r="H1565" s="1">
        <f t="shared" si="1015"/>
        <v>3.1485016505098537E-2</v>
      </c>
      <c r="I1565" s="1">
        <f t="shared" si="1015"/>
        <v>1.1131128238377101E-4</v>
      </c>
      <c r="J1565" s="1">
        <f t="shared" si="1015"/>
        <v>6.286720723174771E-6</v>
      </c>
      <c r="K1565" s="1">
        <f t="shared" si="1015"/>
        <v>0</v>
      </c>
    </row>
    <row r="1566" spans="2:11" x14ac:dyDescent="0.35">
      <c r="B1566" t="str">
        <f t="shared" si="1004"/>
        <v>SPS1</v>
      </c>
      <c r="C1566" t="str">
        <f t="shared" si="1005"/>
        <v>CH</v>
      </c>
      <c r="D1566" t="s">
        <v>1556</v>
      </c>
      <c r="E1566" t="str">
        <f t="shared" si="1007"/>
        <v>PJ/yr.</v>
      </c>
      <c r="F1566" s="1">
        <f>F1565-F1567</f>
        <v>2.3664811580924445E-2</v>
      </c>
      <c r="G1566" s="1">
        <f t="shared" ref="G1566:K1566" si="1016">G1565-G1567</f>
        <v>2.020904207321151E-2</v>
      </c>
      <c r="H1566" s="1">
        <f t="shared" si="1016"/>
        <v>3.117494427721388E-2</v>
      </c>
      <c r="I1566" s="1">
        <f t="shared" si="1016"/>
        <v>1.0997808215875041E-4</v>
      </c>
      <c r="J1566" s="1">
        <f t="shared" si="1016"/>
        <v>5.6368691002136034E-6</v>
      </c>
      <c r="K1566" s="1">
        <f t="shared" si="1016"/>
        <v>0</v>
      </c>
    </row>
    <row r="1567" spans="2:11" x14ac:dyDescent="0.35">
      <c r="B1567" t="str">
        <f t="shared" si="1004"/>
        <v>SPS1</v>
      </c>
      <c r="C1567" t="str">
        <f t="shared" si="1005"/>
        <v>CH</v>
      </c>
      <c r="D1567" t="s">
        <v>1557</v>
      </c>
      <c r="E1567" t="str">
        <f t="shared" si="1007"/>
        <v>PJ/yr.</v>
      </c>
      <c r="F1567" s="1">
        <f>SUM(F1568:F1569)</f>
        <v>1.9136825109336562E-3</v>
      </c>
      <c r="G1567" s="1">
        <f t="shared" ref="G1567:K1567" si="1017">SUM(G1568:G1569)</f>
        <v>2.1639211957810282E-3</v>
      </c>
      <c r="H1567" s="1">
        <f t="shared" si="1017"/>
        <v>3.1007222788465765E-4</v>
      </c>
      <c r="I1567" s="1">
        <f t="shared" si="1017"/>
        <v>1.3332002250206006E-6</v>
      </c>
      <c r="J1567" s="1">
        <f t="shared" si="1017"/>
        <v>6.4985162296116722E-7</v>
      </c>
      <c r="K1567" s="1">
        <f t="shared" si="1017"/>
        <v>0</v>
      </c>
    </row>
    <row r="1568" spans="2:11" x14ac:dyDescent="0.35">
      <c r="B1568" t="str">
        <f t="shared" si="1004"/>
        <v>SPS1</v>
      </c>
      <c r="C1568" t="str">
        <f t="shared" si="1005"/>
        <v>CH</v>
      </c>
      <c r="D1568" t="s">
        <v>1558</v>
      </c>
      <c r="E1568" t="str">
        <f t="shared" si="1007"/>
        <v>PJ/yr.</v>
      </c>
      <c r="F1568" s="1">
        <f>[1]Transport!B$27/SUM([1]Transport!B$24,[1]Transport!B$27)*F1565*(F$45+F$612)/(F$45+F$612+F$47)</f>
        <v>1.9136825109336562E-3</v>
      </c>
      <c r="G1568" s="1">
        <f>[1]Transport!C$27/SUM([1]Transport!C$24,[1]Transport!C$27)*G1565*(G$45+G$612)/(G$45+G$612+G$47)</f>
        <v>2.1639211957810282E-3</v>
      </c>
      <c r="H1568" s="1">
        <f>[1]Transport!D$27/SUM([1]Transport!D$24,[1]Transport!D$27)*H1565*(H$45+H$612)/(H$45+H$612+H$47)</f>
        <v>3.1007222788465765E-4</v>
      </c>
      <c r="I1568" s="1">
        <f>[1]Transport!E$27/SUM([1]Transport!E$24,[1]Transport!E$27)*I1565*(I$45+I$612)/(I$45+I$612+I$47)</f>
        <v>1.3332002250206006E-6</v>
      </c>
      <c r="J1568" s="1">
        <f>[1]Transport!F$27/SUM([1]Transport!F$24,[1]Transport!F$27)*J1565*(J$45+J$612)/(J$45+J$612+J$47)</f>
        <v>2.3473743400411349E-7</v>
      </c>
      <c r="K1568" s="1">
        <f>[1]Transport!G$27/SUM([1]Transport!G$24,[1]Transport!G$27)*K1565*(K$45+K$612)/(K$45+K$612+K$47)</f>
        <v>0</v>
      </c>
    </row>
    <row r="1569" spans="2:11" x14ac:dyDescent="0.35">
      <c r="B1569" t="str">
        <f t="shared" si="1004"/>
        <v>SPS1</v>
      </c>
      <c r="C1569" t="str">
        <f t="shared" si="1005"/>
        <v>CH</v>
      </c>
      <c r="D1569" t="s">
        <v>1559</v>
      </c>
      <c r="E1569" t="str">
        <f t="shared" si="1007"/>
        <v>PJ/yr.</v>
      </c>
      <c r="F1569" s="1">
        <f>(F$47+F$714)/([1]Transport!B$24+[1]Transport!B$27)*F1565</f>
        <v>0</v>
      </c>
      <c r="G1569" s="1">
        <f>(G$47+G$714)/([1]Transport!C$24+[1]Transport!C$27)*G1565</f>
        <v>0</v>
      </c>
      <c r="H1569" s="1">
        <f>(H$47+H$714)/([1]Transport!D$24+[1]Transport!D$27)*H1565</f>
        <v>0</v>
      </c>
      <c r="I1569" s="1">
        <f>(I$47+I$714)/([1]Transport!E$24+[1]Transport!E$27)*I1565</f>
        <v>0</v>
      </c>
      <c r="J1569" s="1">
        <f>(J$47+J$714)/([1]Transport!F$24+[1]Transport!F$27)*J1565</f>
        <v>4.151141889570537E-7</v>
      </c>
      <c r="K1569" s="1">
        <f>(K$47+K$714)/([1]Transport!G$24+[1]Transport!G$27)*K1565</f>
        <v>0</v>
      </c>
    </row>
    <row r="1570" spans="2:11" x14ac:dyDescent="0.35">
      <c r="B1570" t="str">
        <f t="shared" si="1004"/>
        <v>SPS1</v>
      </c>
      <c r="C1570" t="str">
        <f t="shared" si="1005"/>
        <v>CH</v>
      </c>
      <c r="D1570" t="s">
        <v>1560</v>
      </c>
      <c r="E1570" t="str">
        <f t="shared" si="1007"/>
        <v>PJ/yr.</v>
      </c>
      <c r="F1570" s="1" cm="1">
        <f t="array" ref="F1570">SUMPRODUCT(("TFLGV-ICENGA"=[1]OUT_TransportEnergyCons!$A$3:$A$1000)*1,("Var_Fin"=[1]OUT_TransportEnergyCons!$B$3:$B$1000)*1,ISNUMBER(SEARCH("nga",[1]OUT_TransportEnergyCons!$C$3:$C$1000))*1,[1]OUT_TransportEnergyCons!D$3:D$1000)</f>
        <v>2.5578494091858101E-2</v>
      </c>
      <c r="G1570" s="1" cm="1">
        <f t="array" ref="G1570">SUMPRODUCT(("TFLGV-ICENGA"=[1]OUT_TransportEnergyCons!$A$3:$A$1000)*1,("Var_Fin"=[1]OUT_TransportEnergyCons!$B$3:$B$1000)*1,ISNUMBER(SEARCH("nga",[1]OUT_TransportEnergyCons!$C$3:$C$1000))*1,[1]OUT_TransportEnergyCons!E$3:E$1000)</f>
        <v>2.2372963268992539E-2</v>
      </c>
      <c r="H1570" s="1" cm="1">
        <f t="array" ref="H1570">SUMPRODUCT(("TFLGV-ICENGA"=[1]OUT_TransportEnergyCons!$A$3:$A$1000)*1,("Var_Fin"=[1]OUT_TransportEnergyCons!$B$3:$B$1000)*1,ISNUMBER(SEARCH("nga",[1]OUT_TransportEnergyCons!$C$3:$C$1000))*1,[1]OUT_TransportEnergyCons!F$3:F$1000)</f>
        <v>3.1485016505098537E-2</v>
      </c>
      <c r="I1570" s="1" cm="1">
        <f t="array" ref="I1570">SUMPRODUCT(("TFLGV-ICENGA"=[1]OUT_TransportEnergyCons!$A$3:$A$1000)*1,("Var_Fin"=[1]OUT_TransportEnergyCons!$B$3:$B$1000)*1,ISNUMBER(SEARCH("nga",[1]OUT_TransportEnergyCons!$C$3:$C$1000))*1,[1]OUT_TransportEnergyCons!G$3:G$1000)</f>
        <v>1.1131128238377101E-4</v>
      </c>
      <c r="J1570" s="1" cm="1">
        <f t="array" ref="J1570">SUMPRODUCT(("TFLGV-ICENGA"=[1]OUT_TransportEnergyCons!$A$3:$A$1000)*1,("Var_Fin"=[1]OUT_TransportEnergyCons!$B$3:$B$1000)*1,ISNUMBER(SEARCH("nga",[1]OUT_TransportEnergyCons!$C$3:$C$1000))*1,[1]OUT_TransportEnergyCons!H$3:H$1000)</f>
        <v>6.286720723174771E-6</v>
      </c>
      <c r="K1570" s="1" cm="1">
        <f t="array" ref="K1570">SUMPRODUCT(("TFLGV-ICENGA"=[1]OUT_TransportEnergyCons!$A$3:$A$1000)*1,("Var_Fin"=[1]OUT_TransportEnergyCons!$B$3:$B$1000)*1,ISNUMBER(SEARCH("nga",[1]OUT_TransportEnergyCons!$C$3:$C$1000))*1,[1]OUT_TransportEnergyCons!I$3:I$1000)</f>
        <v>0</v>
      </c>
    </row>
    <row r="1571" spans="2:11" x14ac:dyDescent="0.35">
      <c r="B1571" s="2" t="str">
        <f t="shared" si="1004"/>
        <v>SPS1</v>
      </c>
      <c r="C1571" s="2" t="str">
        <f t="shared" si="1005"/>
        <v>CH</v>
      </c>
      <c r="D1571" s="2" t="s">
        <v>1561</v>
      </c>
      <c r="E1571" s="2" t="s">
        <v>1518</v>
      </c>
      <c r="F1571" s="3">
        <f>SUM(F1572:F1580)</f>
        <v>4.7787185428179475</v>
      </c>
      <c r="G1571" s="3">
        <f t="shared" ref="G1571:K1571" si="1018">SUM(G1572:G1580)</f>
        <v>4.7701063049721082</v>
      </c>
      <c r="H1571" s="3">
        <f t="shared" si="1018"/>
        <v>4.7099175323741331</v>
      </c>
      <c r="I1571" s="3">
        <f t="shared" si="1018"/>
        <v>4.6511017394367773</v>
      </c>
      <c r="J1571" s="3">
        <f t="shared" si="1018"/>
        <v>4.9968624523385392</v>
      </c>
      <c r="K1571" s="3">
        <f t="shared" si="1018"/>
        <v>5.4049771155847148</v>
      </c>
    </row>
    <row r="1572" spans="2:11" x14ac:dyDescent="0.35">
      <c r="B1572" t="str">
        <f t="shared" si="1004"/>
        <v>SPS1</v>
      </c>
      <c r="C1572" t="str">
        <f t="shared" si="1005"/>
        <v>CH</v>
      </c>
      <c r="D1572" t="s">
        <v>1562</v>
      </c>
      <c r="E1572" t="s">
        <v>1518</v>
      </c>
      <c r="F1572" s="1" cm="1">
        <f t="array" ref="F1572">SUMPRODUCT(("TFLGV-BeVELCExt"=[1]OUT_TransportEnergyCons!$A$3:$A$1000)*1,("var_fout"=[1]OUT_TransportEnergyCons!$B$3:$B$1000)*1,ISNUMBER(SEARCH("TFLGV",[1]OUT_TransportEnergyCons!$C$3:$C$1000))*1,[1]OUT_TransportEnergyCons!D$3:D$1000)</f>
        <v>2.7929444473583989E-2</v>
      </c>
      <c r="G1572" s="1" cm="1">
        <f t="array" ref="G1572">SUMPRODUCT(("TFLGV-BeVELCExt"=[1]OUT_TransportEnergyCons!$A$3:$A$1000)*1,("var_fout"=[1]OUT_TransportEnergyCons!$B$3:$B$1000)*1,ISNUMBER(SEARCH("TFLGV",[1]OUT_TransportEnergyCons!$C$3:$C$1000))*1,[1]OUT_TransportEnergyCons!E$3:E$1000)</f>
        <v>2.4232620702293227E-2</v>
      </c>
      <c r="H1572" s="1" cm="1">
        <f t="array" ref="H1572">SUMPRODUCT(("TFLGV-BeVELCExt"=[1]OUT_TransportEnergyCons!$A$3:$A$1000)*1,("var_fout"=[1]OUT_TransportEnergyCons!$B$3:$B$1000)*1,ISNUMBER(SEARCH("TFLGV",[1]OUT_TransportEnergyCons!$C$3:$C$1000))*1,[1]OUT_TransportEnergyCons!F$3:F$1000)</f>
        <v>1.862598922274367E-2</v>
      </c>
      <c r="I1572" s="1" cm="1">
        <f t="array" ref="I1572">SUMPRODUCT(("TFLGV-BeVELCExt"=[1]OUT_TransportEnergyCons!$A$3:$A$1000)*1,("var_fout"=[1]OUT_TransportEnergyCons!$B$3:$B$1000)*1,ISNUMBER(SEARCH("TFLGV",[1]OUT_TransportEnergyCons!$C$3:$C$1000))*1,[1]OUT_TransportEnergyCons!G$3:G$1000)</f>
        <v>9.2776018844443354E-3</v>
      </c>
      <c r="J1572" s="1" cm="1">
        <f t="array" ref="J1572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2" s="1" cm="1">
        <f t="array" ref="K1572">SUMPRODUCT(("TFLGV-BeVELCExt"=[1]OUT_TransportEnergyCons!$A$3:$A$1000)*1,("var_fout"=[1]OUT_TransportEnergyCons!$B$3:$B$1000)*1,ISNUMBER(SEARCH("TFLGV",[1]OUT_TransportEnergyCons!$C$3:$C$1000))*1,[1]OUT_TransportEnergyCons!I$3:I$1000)</f>
        <v>0</v>
      </c>
    </row>
    <row r="1573" spans="2:11" x14ac:dyDescent="0.35">
      <c r="B1573" t="str">
        <f t="shared" si="1004"/>
        <v>SPS1</v>
      </c>
      <c r="C1573" t="str">
        <f t="shared" si="1005"/>
        <v>CH</v>
      </c>
      <c r="D1573" t="s">
        <v>1563</v>
      </c>
      <c r="E1573" t="s">
        <v>1518</v>
      </c>
      <c r="F1573" s="1" cm="1">
        <f t="array" ref="F1573">SUMPRODUCT(("TFLGV-BEVELC"=[1]OUT_TransportEnergyCons!$A$3:$A$1000)*1,("var_fout"=[1]OUT_TransportEnergyCons!$B$3:$B$1000)*1,ISNUMBER(SEARCH("TFLGV",[1]OUT_TransportEnergyCons!$C$3:$C$1000))*1,[1]OUT_TransportEnergyCons!D$3:D$1000)</f>
        <v>2.4180783462534029E-2</v>
      </c>
      <c r="G1573" s="1" cm="1">
        <f t="array" ref="G1573">SUMPRODUCT(("TFLGV-BEVELC"=[1]OUT_TransportEnergyCons!$A$3:$A$1000)*1,("var_fout"=[1]OUT_TransportEnergyCons!$B$3:$B$1000)*1,ISNUMBER(SEARCH("TFLGV",[1]OUT_TransportEnergyCons!$C$3:$C$1000))*1,[1]OUT_TransportEnergyCons!E$3:E$1000)</f>
        <v>5.3734534068908511E-2</v>
      </c>
      <c r="H1573" s="1" cm="1">
        <f t="array" ref="H1573">SUMPRODUCT(("TFLGV-BEVELC"=[1]OUT_TransportEnergyCons!$A$3:$A$1000)*1,("var_fout"=[1]OUT_TransportEnergyCons!$B$3:$B$1000)*1,ISNUMBER(SEARCH("TFLGV",[1]OUT_TransportEnergyCons!$C$3:$C$1000))*1,[1]OUT_TransportEnergyCons!F$3:F$1000)</f>
        <v>7.9864127855992034E-2</v>
      </c>
      <c r="I1573" s="1" cm="1">
        <f t="array" ref="I1573">SUMPRODUCT(("TFLGV-BEVELC"=[1]OUT_TransportEnergyCons!$A$3:$A$1000)*1,("var_fout"=[1]OUT_TransportEnergyCons!$B$3:$B$1000)*1,ISNUMBER(SEARCH("TFLGV",[1]OUT_TransportEnergyCons!$C$3:$C$1000))*1,[1]OUT_TransportEnergyCons!G$3:G$1000)</f>
        <v>1.141429008935692</v>
      </c>
      <c r="J1573" s="1" cm="1">
        <f t="array" ref="J1573">SUMPRODUCT(("TFLGV-BEVELC"=[1]OUT_TransportEnergyCons!$A$3:$A$1000)*1,("var_fout"=[1]OUT_TransportEnergyCons!$B$3:$B$1000)*1,ISNUMBER(SEARCH("TFLGV",[1]OUT_TransportEnergyCons!$C$3:$C$1000))*1,[1]OUT_TransportEnergyCons!H$3:H$1000)</f>
        <v>4.996732099988658</v>
      </c>
      <c r="K1573" s="1" cm="1">
        <f t="array" ref="K1573">SUMPRODUCT(("TFLGV-BEVELC"=[1]OUT_TransportEnergyCons!$A$3:$A$1000)*1,("var_fout"=[1]OUT_TransportEnergyCons!$B$3:$B$1000)*1,ISNUMBER(SEARCH("TFLGV",[1]OUT_TransportEnergyCons!$C$3:$C$1000))*1,[1]OUT_TransportEnergyCons!I$3:I$1000)</f>
        <v>5.4049693719970593</v>
      </c>
    </row>
    <row r="1574" spans="2:11" x14ac:dyDescent="0.35">
      <c r="B1574" t="str">
        <f t="shared" si="1004"/>
        <v>SPS1</v>
      </c>
      <c r="C1574" t="str">
        <f t="shared" si="1005"/>
        <v>CH</v>
      </c>
      <c r="D1574" t="s">
        <v>1564</v>
      </c>
      <c r="E1574" t="s">
        <v>1518</v>
      </c>
      <c r="F1574" s="1" cm="1">
        <f t="array" ref="F1574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4" s="1" cm="1">
        <f t="array" ref="G1574">SUMPRODUCT(("TFLGV-FCLH2O"=[1]OUT_TransportEnergyCons!$A$3:$A$1000)*1,("var_fout"=[1]OUT_TransportEnergyCons!$B$3:$B$1000)*1,ISNUMBER(SEARCH("TFLGV",[1]OUT_TransportEnergyCons!$C$3:$C$1000))*1,[1]OUT_TransportEnergyCons!E$3:E$1000)</f>
        <v>1.1946789490618372E-5</v>
      </c>
      <c r="H1574" s="1" cm="1">
        <f t="array" ref="H1574">SUMPRODUCT(("TFLGV-FCLH2O"=[1]OUT_TransportEnergyCons!$A$3:$A$1000)*1,("var_fout"=[1]OUT_TransportEnergyCons!$B$3:$B$1000)*1,ISNUMBER(SEARCH("TFLGV",[1]OUT_TransportEnergyCons!$C$3:$C$1000))*1,[1]OUT_TransportEnergyCons!F$3:F$1000)</f>
        <v>1.6943468254283381E-5</v>
      </c>
      <c r="I1574" s="1" cm="1">
        <f t="array" ref="I1574">SUMPRODUCT(("TFLGV-FCLH2O"=[1]OUT_TransportEnergyCons!$A$3:$A$1000)*1,("var_fout"=[1]OUT_TransportEnergyCons!$B$3:$B$1000)*1,ISNUMBER(SEARCH("TFLGV",[1]OUT_TransportEnergyCons!$C$3:$C$1000))*1,[1]OUT_TransportEnergyCons!G$3:G$1000)</f>
        <v>9.0048602123845767E-6</v>
      </c>
      <c r="J1574" s="1" cm="1">
        <f t="array" ref="J1574">SUMPRODUCT(("TFLGV-FCLH2O"=[1]OUT_TransportEnergyCons!$A$3:$A$1000)*1,("var_fout"=[1]OUT_TransportEnergyCons!$B$3:$B$1000)*1,ISNUMBER(SEARCH("TFLGV",[1]OUT_TransportEnergyCons!$C$3:$C$1000))*1,[1]OUT_TransportEnergyCons!H$3:H$1000)</f>
        <v>7.7423365672693071E-6</v>
      </c>
      <c r="K1574" s="1" cm="1">
        <f t="array" ref="K1574">SUMPRODUCT(("TFLGV-FCLH2O"=[1]OUT_TransportEnergyCons!$A$3:$A$1000)*1,("var_fout"=[1]OUT_TransportEnergyCons!$B$3:$B$1000)*1,ISNUMBER(SEARCH("TFLGV",[1]OUT_TransportEnergyCons!$C$3:$C$1000))*1,[1]OUT_TransportEnergyCons!I$3:I$1000)</f>
        <v>7.7435876552438045E-6</v>
      </c>
    </row>
    <row r="1575" spans="2:11" x14ac:dyDescent="0.35">
      <c r="B1575" t="str">
        <f t="shared" si="1004"/>
        <v>SPS1</v>
      </c>
      <c r="C1575" t="str">
        <f t="shared" si="1005"/>
        <v>CH</v>
      </c>
      <c r="D1575" t="s">
        <v>1590</v>
      </c>
      <c r="E1575" t="s">
        <v>1518</v>
      </c>
      <c r="F1575" s="1" cm="1">
        <f t="array" ref="F1575">SUMPRODUCT(("TFLGV-ICEGSLExt"=[1]OUT_TransportEnergyCons!$A$3:$A$1000)*1,("var_fout"=[1]OUT_TransportEnergyCons!$B$3:$B$1000)*1,ISNUMBER(SEARCH("TFLGV",[1]OUT_TransportEnergyCons!$C$3:$C$1000))*1,[1]OUT_TransportEnergyCons!D$3:D$1000)</f>
        <v>0.23104943374766018</v>
      </c>
      <c r="G1575" s="1" cm="1">
        <f t="array" ref="G1575">SUMPRODUCT(("TFLGV-ICEGSLExt"=[1]OUT_TransportEnergyCons!$A$3:$A$1000)*1,("var_fout"=[1]OUT_TransportEnergyCons!$B$3:$B$1000)*1,ISNUMBER(SEARCH("TFLGV",[1]OUT_TransportEnergyCons!$C$3:$C$1000))*1,[1]OUT_TransportEnergyCons!E$3:E$1000)</f>
        <v>0.4949834174104849</v>
      </c>
      <c r="H1575" s="1" cm="1">
        <f t="array" ref="H1575">SUMPRODUCT(("TFLGV-ICEGSLExt"=[1]OUT_TransportEnergyCons!$A$3:$A$1000)*1,("var_fout"=[1]OUT_TransportEnergyCons!$B$3:$B$1000)*1,ISNUMBER(SEARCH("TFLGV",[1]OUT_TransportEnergyCons!$C$3:$C$1000))*1,[1]OUT_TransportEnergyCons!F$3:F$1000)</f>
        <v>0.15399775710605726</v>
      </c>
      <c r="I1575" s="1" cm="1">
        <f t="array" ref="I1575">SUMPRODUCT(("TFLGV-ICEGSLExt"=[1]OUT_TransportEnergyCons!$A$3:$A$1000)*1,("var_fout"=[1]OUT_TransportEnergyCons!$B$3:$B$1000)*1,ISNUMBER(SEARCH("TFLGV",[1]OUT_TransportEnergyCons!$C$3:$C$1000))*1,[1]OUT_TransportEnergyCons!G$3:G$1000)</f>
        <v>7.6951866835218777E-2</v>
      </c>
      <c r="J1575" s="1" cm="1">
        <f t="array" ref="J1575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5" s="1" cm="1">
        <f t="array" ref="K1575">SUMPRODUCT(("TFLGV-ICEGSLExt"=[1]OUT_TransportEnergyCons!$A$3:$A$1000)*1,("var_fout"=[1]OUT_TransportEnergyCons!$B$3:$B$1000)*1,ISNUMBER(SEARCH("TFLGV",[1]OUT_TransportEnergyCons!$C$3:$C$1000))*1,[1]OUT_TransportEnergyCons!I$3:I$1000)</f>
        <v>0</v>
      </c>
    </row>
    <row r="1576" spans="2:11" x14ac:dyDescent="0.35">
      <c r="B1576" t="str">
        <f t="shared" si="1004"/>
        <v>SPS1</v>
      </c>
      <c r="C1576" t="str">
        <f t="shared" si="1005"/>
        <v>CH</v>
      </c>
      <c r="D1576" t="s">
        <v>1591</v>
      </c>
      <c r="E1576" t="s">
        <v>1518</v>
      </c>
      <c r="F1576" s="1" cm="1">
        <f t="array" ref="F1576">SUMPRODUCT(("TFLGV-ICEGSL"=[1]OUT_TransportEnergyCons!$A$3:$A$1000)*1,("var_fout"=[1]OUT_TransportEnergyCons!$B$3:$B$1000)*1,ISNUMBER(SEARCH("TFLGV",[1]OUT_TransportEnergyCons!$C$3:$C$1000))*1,[1]OUT_TransportEnergyCons!D$3:D$1000)</f>
        <v>0.12853047589650979</v>
      </c>
      <c r="G1576" s="1" cm="1">
        <f t="array" ref="G1576">SUMPRODUCT(("TFLGV-ICEGSL"=[1]OUT_TransportEnergyCons!$A$3:$A$1000)*1,("var_fout"=[1]OUT_TransportEnergyCons!$B$3:$B$1000)*1,ISNUMBER(SEARCH("TFLGV",[1]OUT_TransportEnergyCons!$C$3:$C$1000))*1,[1]OUT_TransportEnergyCons!E$3:E$1000)</f>
        <v>0.20323301376364741</v>
      </c>
      <c r="H1576" s="1" cm="1">
        <f t="array" ref="H1576">SUMPRODUCT(("TFLGV-ICEGSL"=[1]OUT_TransportEnergyCons!$A$3:$A$1000)*1,("var_fout"=[1]OUT_TransportEnergyCons!$B$3:$B$1000)*1,ISNUMBER(SEARCH("TFLGV",[1]OUT_TransportEnergyCons!$C$3:$C$1000))*1,[1]OUT_TransportEnergyCons!F$3:F$1000)</f>
        <v>0.27021571076888778</v>
      </c>
      <c r="I1576" s="1" cm="1">
        <f t="array" ref="I1576">SUMPRODUCT(("TFLGV-ICEGSL"=[1]OUT_TransportEnergyCons!$A$3:$A$1000)*1,("var_fout"=[1]OUT_TransportEnergyCons!$B$3:$B$1000)*1,ISNUMBER(SEARCH("TFLGV",[1]OUT_TransportEnergyCons!$C$3:$C$1000))*1,[1]OUT_TransportEnergyCons!G$3:G$1000)</f>
        <v>0.4787410668289474</v>
      </c>
      <c r="J1576" s="1" cm="1">
        <f t="array" ref="J1576">SUMPRODUCT(("TFLGV-ICEGSL"=[1]OUT_TransportEnergyCons!$A$3:$A$1000)*1,("var_fout"=[1]OUT_TransportEnergyCons!$B$3:$B$1000)*1,ISNUMBER(SEARCH("TFLGV",[1]OUT_TransportEnergyCons!$C$3:$C$1000))*1,[1]OUT_TransportEnergyCons!H$3:H$1000)</f>
        <v>3.7865973375196523E-5</v>
      </c>
      <c r="K1576" s="1" cm="1">
        <f t="array" ref="K1576">SUMPRODUCT(("TFLGV-ICEGSL"=[1]OUT_TransportEnergyCons!$A$3:$A$1000)*1,("var_fout"=[1]OUT_TransportEnergyCons!$B$3:$B$1000)*1,ISNUMBER(SEARCH("TFLGV",[1]OUT_TransportEnergyCons!$C$3:$C$1000))*1,[1]OUT_TransportEnergyCons!I$3:I$1000)</f>
        <v>0</v>
      </c>
    </row>
    <row r="1577" spans="2:11" x14ac:dyDescent="0.35">
      <c r="B1577" t="str">
        <f t="shared" si="1004"/>
        <v>SPS1</v>
      </c>
      <c r="C1577" t="str">
        <f t="shared" si="1005"/>
        <v>CH</v>
      </c>
      <c r="D1577" t="s">
        <v>1565</v>
      </c>
      <c r="E1577" t="s">
        <v>1518</v>
      </c>
      <c r="F1577" s="1" cm="1">
        <f t="array" ref="F1577">SUMPRODUCT(("TFLGV-ICEdslExt"=[1]OUT_TransportEnergyCons!$A$3:$A$1000)*1,("var_fout"=[1]OUT_TransportEnergyCons!$B$3:$B$1000)*1,ISNUMBER(SEARCH("TFLGV",[1]OUT_TransportEnergyCons!$C$3:$C$1000))*1,[1]OUT_TransportEnergyCons!D$3:D$1000)</f>
        <v>2.8370058818446138</v>
      </c>
      <c r="G1577" s="1" cm="1">
        <f t="array" ref="G1577">SUMPRODUCT(("TFLGV-ICEdslExt"=[1]OUT_TransportEnergyCons!$A$3:$A$1000)*1,("var_fout"=[1]OUT_TransportEnergyCons!$B$3:$B$1000)*1,ISNUMBER(SEARCH("TFLGV",[1]OUT_TransportEnergyCons!$C$3:$C$1000))*1,[1]OUT_TransportEnergyCons!E$3:E$1000)</f>
        <v>1.9931665222782102</v>
      </c>
      <c r="H1577" s="1" cm="1">
        <f t="array" ref="H1577">SUMPRODUCT(("TFLGV-ICEdslExt"=[1]OUT_TransportEnergyCons!$A$3:$A$1000)*1,("var_fout"=[1]OUT_TransportEnergyCons!$B$3:$B$1000)*1,ISNUMBER(SEARCH("TFLGV",[1]OUT_TransportEnergyCons!$C$3:$C$1000))*1,[1]OUT_TransportEnergyCons!F$3:F$1000)</f>
        <v>1.5333723266888579</v>
      </c>
      <c r="I1577" s="1" cm="1">
        <f t="array" ref="I1577">SUMPRODUCT(("TFLGV-ICEdslExt"=[1]OUT_TransportEnergyCons!$A$3:$A$1000)*1,("var_fout"=[1]OUT_TransportEnergyCons!$B$3:$B$1000)*1,ISNUMBER(SEARCH("TFLGV",[1]OUT_TransportEnergyCons!$C$3:$C$1000))*1,[1]OUT_TransportEnergyCons!G$3:G$1000)</f>
        <v>0.76661453622057574</v>
      </c>
      <c r="J1577" s="1" cm="1">
        <f t="array" ref="J1577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SUMPRODUCT(("TFLGV-ICEdslExt"=[1]OUT_TransportEnergyCons!$A$3:$A$1000)*1,("var_fout"=[1]OUT_TransportEnergyCons!$B$3:$B$1000)*1,ISNUMBER(SEARCH("TFLGV",[1]OUT_TransportEnergyCons!$C$3:$C$1000))*1,[1]OUT_TransportEnergyCons!I$3:I$1000)</f>
        <v>0</v>
      </c>
    </row>
    <row r="1578" spans="2:11" x14ac:dyDescent="0.35">
      <c r="B1578" t="str">
        <f t="shared" si="1004"/>
        <v>SPS1</v>
      </c>
      <c r="C1578" t="str">
        <f t="shared" si="1005"/>
        <v>CH</v>
      </c>
      <c r="D1578" t="s">
        <v>1566</v>
      </c>
      <c r="E1578" t="s">
        <v>1518</v>
      </c>
      <c r="F1578" s="1" cm="1">
        <f t="array" ref="F1578">SUMPRODUCT(("TFLGV-ICEdsl"=[1]OUT_TransportEnergyCons!$A$3:$A$1000)*1,("var_fout"=[1]OUT_TransportEnergyCons!$B$3:$B$1000)*1,ISNUMBER(SEARCH("TFLGV",[1]OUT_TransportEnergyCons!$C$3:$C$1000))*1,[1]OUT_TransportEnergyCons!D$3:D$1000)</f>
        <v>1.521822648348659</v>
      </c>
      <c r="G1578" s="1" cm="1">
        <f t="array" ref="G1578">SUMPRODUCT(("TFLGV-ICEdsl"=[1]OUT_TransportEnergyCons!$A$3:$A$1000)*1,("var_fout"=[1]OUT_TransportEnergyCons!$B$3:$B$1000)*1,ISNUMBER(SEARCH("TFLGV",[1]OUT_TransportEnergyCons!$C$3:$C$1000))*1,[1]OUT_TransportEnergyCons!E$3:E$1000)</f>
        <v>1.7955368509644725</v>
      </c>
      <c r="H1578" s="1" cm="1">
        <f t="array" ref="H1578">SUMPRODUCT(("TFLGV-ICEdsl"=[1]OUT_TransportEnergyCons!$A$3:$A$1000)*1,("var_fout"=[1]OUT_TransportEnergyCons!$B$3:$B$1000)*1,ISNUMBER(SEARCH("TFLGV",[1]OUT_TransportEnergyCons!$C$3:$C$1000))*1,[1]OUT_TransportEnergyCons!F$3:F$1000)</f>
        <v>1.7455069400162138</v>
      </c>
      <c r="I1578" s="1" cm="1">
        <f t="array" ref="I1578">SUMPRODUCT(("TFLGV-ICEdsl"=[1]OUT_TransportEnergyCons!$A$3:$A$1000)*1,("var_fout"=[1]OUT_TransportEnergyCons!$B$3:$B$1000)*1,ISNUMBER(SEARCH("TFLGV",[1]OUT_TransportEnergyCons!$C$3:$C$1000))*1,[1]OUT_TransportEnergyCons!G$3:G$1000)</f>
        <v>0.71321827184928321</v>
      </c>
      <c r="J1578" s="1" cm="1">
        <f t="array" ref="J1578">SUMPRODUCT(("TFLGV-ICEdsl"=[1]OUT_TransportEnergyCons!$A$3:$A$1000)*1,("var_fout"=[1]OUT_TransportEnergyCons!$B$3:$B$1000)*1,ISNUMBER(SEARCH("TFLGV",[1]OUT_TransportEnergyCons!$C$3:$C$1000))*1,[1]OUT_TransportEnergyCons!H$3:H$1000)</f>
        <v>3.6912924559574857E-5</v>
      </c>
      <c r="K1578" s="1" cm="1">
        <f t="array" ref="K1578">SUMPRODUCT(("TFLGV-ICEdsl"=[1]OUT_TransportEnergyCons!$A$3:$A$1000)*1,("var_fout"=[1]OUT_TransportEnergyCons!$B$3:$B$1000)*1,ISNUMBER(SEARCH("TFLGV",[1]OUT_TransportEnergyCons!$C$3:$C$1000))*1,[1]OUT_TransportEnergyCons!I$3:I$1000)</f>
        <v>0</v>
      </c>
    </row>
    <row r="1579" spans="2:11" x14ac:dyDescent="0.35">
      <c r="B1579" t="str">
        <f t="shared" si="1004"/>
        <v>SPS1</v>
      </c>
      <c r="C1579" t="str">
        <f t="shared" si="1005"/>
        <v>CH</v>
      </c>
      <c r="D1579" t="s">
        <v>1567</v>
      </c>
      <c r="E1579" t="s">
        <v>1518</v>
      </c>
      <c r="F1579" s="1" cm="1">
        <f t="array" ref="F1579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79" s="1" cm="1">
        <f t="array" ref="G1579">SUMPRODUCT(("TFLGV-HYBDSL"=[1]OUT_TransportEnergyCons!$A$3:$A$1000)*1,("var_fout"=[1]OUT_TransportEnergyCons!$B$3:$B$1000)*1,ISNUMBER(SEARCH("TFLGV",[1]OUT_TransportEnergyCons!$C$3:$C$1000))*1,[1]OUT_TransportEnergyCons!E$3:E$1000)</f>
        <v>0.19803514317220619</v>
      </c>
      <c r="H1579" s="1" cm="1">
        <f t="array" ref="H1579">SUMPRODUCT(("TFLGV-HYBDSL"=[1]OUT_TransportEnergyCons!$A$3:$A$1000)*1,("var_fout"=[1]OUT_TransportEnergyCons!$B$3:$B$1000)*1,ISNUMBER(SEARCH("TFLGV",[1]OUT_TransportEnergyCons!$C$3:$C$1000))*1,[1]OUT_TransportEnergyCons!F$3:F$1000)</f>
        <v>0.89822436739567602</v>
      </c>
      <c r="I1579" s="1" cm="1">
        <f t="array" ref="I1579">SUMPRODUCT(("TFLGV-HYBDSL"=[1]OUT_TransportEnergyCons!$A$3:$A$1000)*1,("var_fout"=[1]OUT_TransportEnergyCons!$B$3:$B$1000)*1,ISNUMBER(SEARCH("TFLGV",[1]OUT_TransportEnergyCons!$C$3:$C$1000))*1,[1]OUT_TransportEnergyCons!G$3:G$1000)</f>
        <v>1.4648246981935085</v>
      </c>
      <c r="J1579" s="1" cm="1">
        <f t="array" ref="J1579">SUMPRODUCT(("TFLGV-HYBDSL"=[1]OUT_TransportEnergyCons!$A$3:$A$1000)*1,("var_fout"=[1]OUT_TransportEnergyCons!$B$3:$B$1000)*1,ISNUMBER(SEARCH("TFLGV",[1]OUT_TransportEnergyCons!$C$3:$C$1000))*1,[1]OUT_TransportEnergyCons!H$3:H$1000)</f>
        <v>4.5815737764981384E-5</v>
      </c>
      <c r="K1579" s="1" cm="1">
        <f t="array" ref="K1579">SUMPRODUCT(("TFLGV-HYBDSL"=[1]OUT_TransportEnergyCons!$A$3:$A$1000)*1,("var_fout"=[1]OUT_TransportEnergyCons!$B$3:$B$1000)*1,ISNUMBER(SEARCH("TFLGV",[1]OUT_TransportEnergyCons!$C$3:$C$1000))*1,[1]OUT_TransportEnergyCons!I$3:I$1000)</f>
        <v>0</v>
      </c>
    </row>
    <row r="1580" spans="2:11" x14ac:dyDescent="0.35">
      <c r="B1580" t="str">
        <f t="shared" si="1004"/>
        <v>SPS1</v>
      </c>
      <c r="C1580" t="str">
        <f t="shared" si="1005"/>
        <v>CH</v>
      </c>
      <c r="D1580" t="s">
        <v>1568</v>
      </c>
      <c r="E1580" t="s">
        <v>1518</v>
      </c>
      <c r="F1580" s="1" cm="1">
        <f t="array" ref="F1580">SUMPRODUCT(("TFLGV-ICENGA"=[1]OUT_TransportEnergyCons!$A$3:$A$1000)*1,("var_fout"=[1]OUT_TransportEnergyCons!$B$3:$B$1000)*1,ISNUMBER(SEARCH("TFLGV",[1]OUT_TransportEnergyCons!$C$3:$C$1000))*1,[1]OUT_TransportEnergyCons!D$3:D$1000)</f>
        <v>8.1998750443867882E-3</v>
      </c>
      <c r="G1580" s="1" cm="1">
        <f t="array" ref="G1580">SUMPRODUCT(("TFLGV-ICENGA"=[1]OUT_TransportEnergyCons!$A$3:$A$1000)*1,("var_fout"=[1]OUT_TransportEnergyCons!$B$3:$B$1000)*1,ISNUMBER(SEARCH("TFLGV",[1]OUT_TransportEnergyCons!$C$3:$C$1000))*1,[1]OUT_TransportEnergyCons!E$3:E$1000)</f>
        <v>7.172255822393777E-3</v>
      </c>
      <c r="H1580" s="1" cm="1">
        <f t="array" ref="H1580">SUMPRODUCT(("TFLGV-ICENGA"=[1]OUT_TransportEnergyCons!$A$3:$A$1000)*1,("var_fout"=[1]OUT_TransportEnergyCons!$B$3:$B$1000)*1,ISNUMBER(SEARCH("TFLGV",[1]OUT_TransportEnergyCons!$C$3:$C$1000))*1,[1]OUT_TransportEnergyCons!F$3:F$1000)</f>
        <v>1.0093369851450427E-2</v>
      </c>
      <c r="I1580" s="1" cm="1">
        <f t="array" ref="I1580">SUMPRODUCT(("TFLGV-ICENGA"=[1]OUT_TransportEnergyCons!$A$3:$A$1000)*1,("var_fout"=[1]OUT_TransportEnergyCons!$B$3:$B$1000)*1,ISNUMBER(SEARCH("TFLGV",[1]OUT_TransportEnergyCons!$C$3:$C$1000))*1,[1]OUT_TransportEnergyCons!G$3:G$1000)</f>
        <v>3.5683828895459016E-5</v>
      </c>
      <c r="J1580" s="1" cm="1">
        <f t="array" ref="J1580">SUMPRODUCT(("TFLGV-ICENGA"=[1]OUT_TransportEnergyCons!$A$3:$A$1000)*1,("var_fout"=[1]OUT_TransportEnergyCons!$B$3:$B$1000)*1,ISNUMBER(SEARCH("TFLGV",[1]OUT_TransportEnergyCons!$C$3:$C$1000))*1,[1]OUT_TransportEnergyCons!H$3:H$1000)</f>
        <v>2.0153776130784422E-6</v>
      </c>
      <c r="K1580" s="1" cm="1">
        <f t="array" ref="K1580">SUMPRODUCT(("TFLGV-ICENGA"=[1]OUT_TransportEnergyCons!$A$3:$A$1000)*1,("var_fout"=[1]OUT_TransportEnergyCons!$B$3:$B$1000)*1,ISNUMBER(SEARCH("TFLGV",[1]OUT_TransportEnergyCons!$C$3:$C$1000))*1,[1]OUT_TransportEnergyCons!I$3:I$1000)</f>
        <v>0</v>
      </c>
    </row>
    <row r="1581" spans="2:11" x14ac:dyDescent="0.35">
      <c r="B1581" s="2" t="str">
        <f t="shared" si="1004"/>
        <v>SPS1</v>
      </c>
      <c r="C1581" s="2" t="str">
        <f t="shared" si="1005"/>
        <v>CH</v>
      </c>
      <c r="D1581" s="2" t="s">
        <v>1569</v>
      </c>
      <c r="E1581" s="2" t="s">
        <v>1577</v>
      </c>
      <c r="F1581" s="24" t="s">
        <v>292</v>
      </c>
      <c r="G1581" s="24" t="s">
        <v>292</v>
      </c>
      <c r="H1581" s="24" t="s">
        <v>292</v>
      </c>
      <c r="I1581" s="24" t="s">
        <v>292</v>
      </c>
      <c r="J1581" s="24" t="s">
        <v>292</v>
      </c>
      <c r="K1581" s="24" t="s">
        <v>292</v>
      </c>
    </row>
    <row r="1582" spans="2:11" x14ac:dyDescent="0.35">
      <c r="B1582" t="str">
        <f t="shared" si="1004"/>
        <v>SPS1</v>
      </c>
      <c r="C1582" t="str">
        <f t="shared" si="1005"/>
        <v>CH</v>
      </c>
      <c r="D1582" t="s">
        <v>1570</v>
      </c>
      <c r="E1582" t="s">
        <v>1577</v>
      </c>
      <c r="F1582" s="1">
        <f>IFERROR(F1572/F1546,"-")</f>
        <v>0.68922285337539646</v>
      </c>
      <c r="G1582" s="1">
        <f t="shared" ref="G1582:K1582" si="1019">IFERROR(G1572/G1546,"-")</f>
        <v>0.69564643130450521</v>
      </c>
      <c r="H1582" s="1">
        <f t="shared" si="1019"/>
        <v>0.70528179819817016</v>
      </c>
      <c r="I1582" s="1">
        <f t="shared" si="1019"/>
        <v>0.70528179819817027</v>
      </c>
      <c r="J1582" s="1" t="str">
        <f t="shared" si="1019"/>
        <v>-</v>
      </c>
      <c r="K1582" s="1" t="str">
        <f t="shared" si="1019"/>
        <v>-</v>
      </c>
    </row>
    <row r="1583" spans="2:11" x14ac:dyDescent="0.35">
      <c r="B1583" t="str">
        <f t="shared" si="1004"/>
        <v>SPS1</v>
      </c>
      <c r="C1583" t="str">
        <f t="shared" si="1005"/>
        <v>CH</v>
      </c>
      <c r="D1583" t="s">
        <v>1571</v>
      </c>
      <c r="E1583" t="s">
        <v>1577</v>
      </c>
      <c r="F1583" s="1">
        <f>IFERROR(F1573/F1547,"-")</f>
        <v>0.68135756995377239</v>
      </c>
      <c r="G1583" s="1">
        <f t="shared" ref="G1583:K1583" si="1020">IFERROR(G1573/G1547,"-")</f>
        <v>0.68135756995377317</v>
      </c>
      <c r="H1583" s="1">
        <f t="shared" si="1020"/>
        <v>0.68135756995377295</v>
      </c>
      <c r="I1583" s="1">
        <f t="shared" si="1020"/>
        <v>0.68135756995377328</v>
      </c>
      <c r="J1583" s="1">
        <f t="shared" si="1020"/>
        <v>0.68135756995377383</v>
      </c>
      <c r="K1583" s="1">
        <f t="shared" si="1020"/>
        <v>0.68135756995377383</v>
      </c>
    </row>
    <row r="1584" spans="2:11" x14ac:dyDescent="0.35">
      <c r="B1584" t="str">
        <f t="shared" si="1004"/>
        <v>SPS1</v>
      </c>
      <c r="C1584" t="str">
        <f t="shared" si="1005"/>
        <v>CH</v>
      </c>
      <c r="D1584" t="s">
        <v>1572</v>
      </c>
      <c r="E1584" t="s">
        <v>1577</v>
      </c>
      <c r="F1584" s="1" t="str">
        <f>IFERROR(F1574/F1549,"-")</f>
        <v>-</v>
      </c>
      <c r="G1584" s="1">
        <f t="shared" ref="G1584:K1584" si="1021">IFERROR(G1574/G1549,"-")</f>
        <v>0.46510343171505419</v>
      </c>
      <c r="H1584" s="1">
        <f t="shared" si="1021"/>
        <v>0.47226978591811691</v>
      </c>
      <c r="I1584" s="1">
        <f t="shared" si="1021"/>
        <v>0.4934985388108491</v>
      </c>
      <c r="J1584" s="1">
        <f t="shared" si="1021"/>
        <v>0.56514534445960918</v>
      </c>
      <c r="K1584" s="1">
        <f t="shared" si="1021"/>
        <v>0.5935453425180619</v>
      </c>
    </row>
    <row r="1585" spans="2:11" x14ac:dyDescent="0.35">
      <c r="B1585" t="str">
        <f t="shared" si="1004"/>
        <v>SPS1</v>
      </c>
      <c r="C1585" t="str">
        <f t="shared" si="1005"/>
        <v>CH</v>
      </c>
      <c r="D1585" t="s">
        <v>1592</v>
      </c>
      <c r="E1585" t="s">
        <v>1577</v>
      </c>
      <c r="F1585" s="1">
        <f>IFERROR(F1575/F1555,"-")</f>
        <v>0.27758325613680995</v>
      </c>
      <c r="G1585" s="1">
        <f t="shared" ref="G1585:K1585" si="1022">IFERROR(G1575/G1555,"-")</f>
        <v>0.28017034051580086</v>
      </c>
      <c r="H1585" s="1">
        <f t="shared" si="1022"/>
        <v>0.2840509670842869</v>
      </c>
      <c r="I1585" s="1">
        <f t="shared" si="1022"/>
        <v>0.28405096708428718</v>
      </c>
      <c r="J1585" s="1" t="str">
        <f t="shared" si="1022"/>
        <v>-</v>
      </c>
      <c r="K1585" s="1" t="str">
        <f t="shared" si="1022"/>
        <v>-</v>
      </c>
    </row>
    <row r="1586" spans="2:11" x14ac:dyDescent="0.35">
      <c r="B1586" t="str">
        <f t="shared" si="1004"/>
        <v>SPS1</v>
      </c>
      <c r="C1586" t="str">
        <f t="shared" si="1005"/>
        <v>CH</v>
      </c>
      <c r="D1586" t="s">
        <v>1593</v>
      </c>
      <c r="E1586" t="s">
        <v>1577</v>
      </c>
      <c r="F1586" s="1">
        <f>IFERROR(F1576/F1556,"-")</f>
        <v>0.35122961215622095</v>
      </c>
      <c r="G1586" s="1">
        <f t="shared" ref="G1586:K1586" si="1023">IFERROR(G1576/G1556,"-")</f>
        <v>0.35122961215622051</v>
      </c>
      <c r="H1586" s="1">
        <f t="shared" si="1023"/>
        <v>0.35122961215622028</v>
      </c>
      <c r="I1586" s="1">
        <f t="shared" si="1023"/>
        <v>0.35122961215622039</v>
      </c>
      <c r="J1586" s="1">
        <f t="shared" si="1023"/>
        <v>0.35122961215622106</v>
      </c>
      <c r="K1586" s="1" t="str">
        <f t="shared" si="1023"/>
        <v>-</v>
      </c>
    </row>
    <row r="1587" spans="2:11" x14ac:dyDescent="0.35">
      <c r="B1587" t="str">
        <f t="shared" si="1004"/>
        <v>SPS1</v>
      </c>
      <c r="C1587" t="str">
        <f t="shared" si="1005"/>
        <v>CH</v>
      </c>
      <c r="D1587" t="s">
        <v>1573</v>
      </c>
      <c r="E1587" t="s">
        <v>1577</v>
      </c>
      <c r="F1587" s="1">
        <f>IFERROR(F1577/F1562,"-")</f>
        <v>0.25903663625928725</v>
      </c>
      <c r="G1587" s="1">
        <f t="shared" ref="G1587:K1587" si="1024">IFERROR(G1577/G1562,"-")</f>
        <v>0.26793746277611213</v>
      </c>
      <c r="H1587" s="1">
        <f t="shared" si="1024"/>
        <v>0.28128870255135019</v>
      </c>
      <c r="I1587" s="1">
        <f t="shared" si="1024"/>
        <v>0.28128870255135008</v>
      </c>
      <c r="J1587" s="1" t="str">
        <f t="shared" si="1024"/>
        <v>-</v>
      </c>
      <c r="K1587" s="1" t="str">
        <f t="shared" si="1024"/>
        <v>-</v>
      </c>
    </row>
    <row r="1588" spans="2:11" x14ac:dyDescent="0.35">
      <c r="B1588" t="str">
        <f t="shared" si="1004"/>
        <v>SPS1</v>
      </c>
      <c r="C1588" t="str">
        <f t="shared" si="1005"/>
        <v>CH</v>
      </c>
      <c r="D1588" t="s">
        <v>1574</v>
      </c>
      <c r="E1588" t="s">
        <v>1577</v>
      </c>
      <c r="F1588" s="1">
        <f>IFERROR(F1578/F1563,"-")</f>
        <v>0.34211451343153221</v>
      </c>
      <c r="G1588" s="1">
        <f t="shared" ref="G1588:K1588" si="1025">IFERROR(G1578/G1563,"-")</f>
        <v>0.34211451343153143</v>
      </c>
      <c r="H1588" s="1">
        <f t="shared" si="1025"/>
        <v>0.34211451343153193</v>
      </c>
      <c r="I1588" s="1">
        <f t="shared" si="1025"/>
        <v>0.34211451343153337</v>
      </c>
      <c r="J1588" s="1">
        <f t="shared" si="1025"/>
        <v>0.34211451343153199</v>
      </c>
      <c r="K1588" s="1" t="str">
        <f t="shared" si="1025"/>
        <v>-</v>
      </c>
    </row>
    <row r="1589" spans="2:11" x14ac:dyDescent="0.35">
      <c r="B1589" t="str">
        <f t="shared" si="1004"/>
        <v>SPS1</v>
      </c>
      <c r="C1589" t="str">
        <f t="shared" si="1005"/>
        <v>CH</v>
      </c>
      <c r="D1589" t="s">
        <v>1575</v>
      </c>
      <c r="E1589" t="s">
        <v>1577</v>
      </c>
      <c r="F1589" s="1" t="str">
        <f>IFERROR(F1579/F1564,"-")</f>
        <v>-</v>
      </c>
      <c r="G1589" s="1">
        <f t="shared" ref="G1589:K1589" si="1026">IFERROR(G1579/G1564,"-")</f>
        <v>0.46076759264650835</v>
      </c>
      <c r="H1589" s="1">
        <f t="shared" si="1026"/>
        <v>0.46076759264650841</v>
      </c>
      <c r="I1589" s="1">
        <f t="shared" si="1026"/>
        <v>0.46076759264650785</v>
      </c>
      <c r="J1589" s="1">
        <f t="shared" si="1026"/>
        <v>0.46076759264650829</v>
      </c>
      <c r="K1589" s="1" t="str">
        <f t="shared" si="1026"/>
        <v>-</v>
      </c>
    </row>
    <row r="1590" spans="2:11" x14ac:dyDescent="0.35">
      <c r="B1590" t="str">
        <f t="shared" si="1004"/>
        <v>SPS1</v>
      </c>
      <c r="C1590" t="str">
        <f t="shared" si="1005"/>
        <v>CH</v>
      </c>
      <c r="D1590" t="s">
        <v>1576</v>
      </c>
      <c r="E1590" t="s">
        <v>1577</v>
      </c>
      <c r="F1590" s="1">
        <f>IFERROR(F1580/F1570,"-")</f>
        <v>0.32057692743518051</v>
      </c>
      <c r="G1590" s="1">
        <f t="shared" ref="G1590:K1590" si="1027">IFERROR(G1580/G1570,"-")</f>
        <v>0.32057692743518035</v>
      </c>
      <c r="H1590" s="1">
        <f t="shared" si="1027"/>
        <v>0.32057692743518029</v>
      </c>
      <c r="I1590" s="1">
        <f t="shared" si="1027"/>
        <v>0.32057692743518024</v>
      </c>
      <c r="J1590" s="1">
        <f t="shared" si="1027"/>
        <v>0.32057692743518024</v>
      </c>
      <c r="K1590" s="1" t="str">
        <f t="shared" si="1027"/>
        <v>-</v>
      </c>
    </row>
    <row r="1591" spans="2:11" x14ac:dyDescent="0.35">
      <c r="B1591" s="2" t="str">
        <f>B1590</f>
        <v>SPS1</v>
      </c>
      <c r="C1591" s="2" t="str">
        <f>C1590</f>
        <v>CH</v>
      </c>
      <c r="D1591" s="2" t="s">
        <v>1597</v>
      </c>
      <c r="E1591" s="2" t="s">
        <v>8</v>
      </c>
      <c r="F1591" s="3">
        <f>F1592+F1595+F1597+F1604+F1612</f>
        <v>24.513445539976463</v>
      </c>
      <c r="G1591" s="3">
        <f t="shared" ref="G1591" si="1028">G1592+G1595+G1597+G1604+G1612</f>
        <v>22.83967029949698</v>
      </c>
      <c r="H1591" s="3">
        <f t="shared" ref="H1591" si="1029">H1592+H1595+H1597+H1604+H1612</f>
        <v>20.475943706330696</v>
      </c>
      <c r="I1591" s="3">
        <f t="shared" ref="I1591" si="1030">I1592+I1595+I1597+I1604+I1612</f>
        <v>16.578472361984851</v>
      </c>
      <c r="J1591" s="3">
        <f t="shared" ref="J1591" si="1031">J1592+J1595+J1597+J1604+J1612</f>
        <v>13.092745384683926</v>
      </c>
      <c r="K1591" s="3">
        <f t="shared" ref="K1591" si="1032">K1592+K1595+K1597+K1604+K1612</f>
        <v>8.2284799108475166</v>
      </c>
    </row>
    <row r="1592" spans="2:11" x14ac:dyDescent="0.35">
      <c r="B1592" t="str">
        <f t="shared" ref="B1592:B1637" si="1033">B1591</f>
        <v>SPS1</v>
      </c>
      <c r="C1592" t="str">
        <f t="shared" ref="C1592:C1637" si="1034">C1591</f>
        <v>CH</v>
      </c>
      <c r="D1592" t="s">
        <v>1598</v>
      </c>
      <c r="E1592" t="str">
        <f>E1591</f>
        <v>PJ/yr.</v>
      </c>
      <c r="F1592" s="1">
        <f>SUM(F1593:F1594)</f>
        <v>9.5846482359736532E-3</v>
      </c>
      <c r="G1592" s="1">
        <f t="shared" ref="G1592" si="1035">SUM(G1593:G1594)</f>
        <v>2.1783841360506064E-2</v>
      </c>
      <c r="H1592" s="1">
        <f t="shared" ref="H1592" si="1036">SUM(H1593:H1594)</f>
        <v>2.1453187718231619E-2</v>
      </c>
      <c r="I1592" s="1">
        <f t="shared" ref="I1592" si="1037">SUM(I1593:I1594)</f>
        <v>5.5934967504789775E-3</v>
      </c>
      <c r="J1592" s="1">
        <f t="shared" ref="J1592" si="1038">SUM(J1593:J1594)</f>
        <v>2.4705966905085681</v>
      </c>
      <c r="K1592" s="1">
        <f t="shared" ref="K1592" si="1039">SUM(K1593:K1594)</f>
        <v>7.7881406173250953</v>
      </c>
    </row>
    <row r="1593" spans="2:11" x14ac:dyDescent="0.35">
      <c r="B1593" t="str">
        <f t="shared" si="1033"/>
        <v>SPS1</v>
      </c>
      <c r="C1593" t="str">
        <f t="shared" si="1034"/>
        <v>CH</v>
      </c>
      <c r="D1593" t="s">
        <v>1599</v>
      </c>
      <c r="E1593" t="str">
        <f t="shared" ref="E1593:E1617" si="1040">E1592</f>
        <v>PJ/yr.</v>
      </c>
      <c r="F1593" s="1" cm="1">
        <f t="array" ref="F1593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3" s="1" cm="1">
        <f t="array" ref="G1593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3" s="1" cm="1">
        <f t="array" ref="H1593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3" s="1" cm="1">
        <f t="array" ref="I1593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3" s="1" cm="1">
        <f t="array" ref="J1593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3" s="1" cm="1">
        <f t="array" ref="K1593">SUMPRODUCT(("TFHGV-BeVELCExt"=[1]OUT_TransportEnergyCons!$A$3:$A$1000)*1,("Var_Fin"=[1]OUT_TransportEnergyCons!$B$3:$B$1000)*1,ISNUMBER(SEARCH("ELC",[1]OUT_TransportEnergyCons!$C$3:$C$1000))*1,[1]OUT_TransportEnergyCons!I$3:I$1000)</f>
        <v>0</v>
      </c>
    </row>
    <row r="1594" spans="2:11" x14ac:dyDescent="0.35">
      <c r="B1594" t="str">
        <f t="shared" si="1033"/>
        <v>SPS1</v>
      </c>
      <c r="C1594" t="str">
        <f t="shared" si="1034"/>
        <v>CH</v>
      </c>
      <c r="D1594" t="s">
        <v>1600</v>
      </c>
      <c r="E1594" t="str">
        <f t="shared" si="1040"/>
        <v>PJ/yr.</v>
      </c>
      <c r="F1594" s="1" cm="1">
        <f t="array" ref="F1594">SUMPRODUCT(("TFHGV-BEVELC"=[1]OUT_TransportEnergyCons!$A$3:$A$1000)*1,("Var_Fin"=[1]OUT_TransportEnergyCons!$B$3:$B$1000)*1,ISNUMBER(SEARCH("ELC",[1]OUT_TransportEnergyCons!$C$3:$C$1000))*1,[1]OUT_TransportEnergyCons!D$3:D$1000)</f>
        <v>9.5846482359736532E-3</v>
      </c>
      <c r="G1594" s="1" cm="1">
        <f t="array" ref="G1594">SUMPRODUCT(("TFHGV-BEVELC"=[1]OUT_TransportEnergyCons!$A$3:$A$1000)*1,("Var_Fin"=[1]OUT_TransportEnergyCons!$B$3:$B$1000)*1,ISNUMBER(SEARCH("ELC",[1]OUT_TransportEnergyCons!$C$3:$C$1000))*1,[1]OUT_TransportEnergyCons!E$3:E$1000)</f>
        <v>2.1783841360506064E-2</v>
      </c>
      <c r="H1594" s="1" cm="1">
        <f t="array" ref="H1594">SUMPRODUCT(("TFHGV-BEVELC"=[1]OUT_TransportEnergyCons!$A$3:$A$1000)*1,("Var_Fin"=[1]OUT_TransportEnergyCons!$B$3:$B$1000)*1,ISNUMBER(SEARCH("ELC",[1]OUT_TransportEnergyCons!$C$3:$C$1000))*1,[1]OUT_TransportEnergyCons!F$3:F$1000)</f>
        <v>2.1453187718231619E-2</v>
      </c>
      <c r="I1594" s="1" cm="1">
        <f t="array" ref="I1594">SUMPRODUCT(("TFHGV-BEVELC"=[1]OUT_TransportEnergyCons!$A$3:$A$1000)*1,("Var_Fin"=[1]OUT_TransportEnergyCons!$B$3:$B$1000)*1,ISNUMBER(SEARCH("ELC",[1]OUT_TransportEnergyCons!$C$3:$C$1000))*1,[1]OUT_TransportEnergyCons!G$3:G$1000)</f>
        <v>5.5934967504789775E-3</v>
      </c>
      <c r="J1594" s="1" cm="1">
        <f t="array" ref="J1594">SUMPRODUCT(("TFHGV-BEVELC"=[1]OUT_TransportEnergyCons!$A$3:$A$1000)*1,("Var_Fin"=[1]OUT_TransportEnergyCons!$B$3:$B$1000)*1,ISNUMBER(SEARCH("ELC",[1]OUT_TransportEnergyCons!$C$3:$C$1000))*1,[1]OUT_TransportEnergyCons!H$3:H$1000)</f>
        <v>2.4705966905085681</v>
      </c>
      <c r="K1594" s="1" cm="1">
        <f t="array" ref="K1594">SUMPRODUCT(("TFHGV-BEVELC"=[1]OUT_TransportEnergyCons!$A$3:$A$1000)*1,("Var_Fin"=[1]OUT_TransportEnergyCons!$B$3:$B$1000)*1,ISNUMBER(SEARCH("ELC",[1]OUT_TransportEnergyCons!$C$3:$C$1000))*1,[1]OUT_TransportEnergyCons!I$3:I$1000)</f>
        <v>7.7881406173250953</v>
      </c>
    </row>
    <row r="1595" spans="2:11" x14ac:dyDescent="0.35">
      <c r="B1595" t="str">
        <f t="shared" si="1033"/>
        <v>SPS1</v>
      </c>
      <c r="C1595" t="str">
        <f t="shared" si="1034"/>
        <v>CH</v>
      </c>
      <c r="D1595" t="s">
        <v>1601</v>
      </c>
      <c r="E1595" t="str">
        <f t="shared" si="1040"/>
        <v>PJ/yr.</v>
      </c>
      <c r="F1595" s="1">
        <f>F1596</f>
        <v>2.5448987254789606E-3</v>
      </c>
      <c r="G1595" s="1">
        <f t="shared" ref="G1595" si="1041">G1596</f>
        <v>1.0551987793383352E-3</v>
      </c>
      <c r="H1595" s="1">
        <f t="shared" ref="H1595" si="1042">H1596</f>
        <v>1.0550887178629321E-3</v>
      </c>
      <c r="I1595" s="1">
        <f t="shared" ref="I1595" si="1043">I1596</f>
        <v>1.7315184728100035E-4</v>
      </c>
      <c r="J1595" s="1">
        <f t="shared" ref="J1595" si="1044">J1596</f>
        <v>2.399478377110245E-4</v>
      </c>
      <c r="K1595" s="1">
        <f t="shared" ref="K1595" si="1045">K1596</f>
        <v>2.0329578319636341E-4</v>
      </c>
    </row>
    <row r="1596" spans="2:11" x14ac:dyDescent="0.35">
      <c r="B1596" t="str">
        <f t="shared" si="1033"/>
        <v>SPS1</v>
      </c>
      <c r="C1596" t="str">
        <f t="shared" si="1034"/>
        <v>CH</v>
      </c>
      <c r="D1596" t="s">
        <v>1602</v>
      </c>
      <c r="E1596" t="str">
        <f t="shared" si="1040"/>
        <v>PJ/yr.</v>
      </c>
      <c r="F1596" s="1" cm="1">
        <f t="array" ref="F1596">SUMPRODUCT(("TFHGV-FCLH2O"=[1]OUT_TransportEnergyCons!$A$3:$A$1000)*1,("Var_Fin"=[1]OUT_TransportEnergyCons!$B$3:$B$1000)*1,ISNUMBER(SEARCH("h2",[1]OUT_TransportEnergyCons!$C$3:$C$1000))*1,[1]OUT_TransportEnergyCons!D$3:D$1000)</f>
        <v>2.5448987254789606E-3</v>
      </c>
      <c r="G1596" s="1" cm="1">
        <f t="array" ref="G1596">SUMPRODUCT(("TFHGV-FCLH2O"=[1]OUT_TransportEnergyCons!$A$3:$A$1000)*1,("Var_Fin"=[1]OUT_TransportEnergyCons!$B$3:$B$1000)*1,ISNUMBER(SEARCH("h2",[1]OUT_TransportEnergyCons!$C$3:$C$1000))*1,[1]OUT_TransportEnergyCons!E$3:E$1000)</f>
        <v>1.0551987793383352E-3</v>
      </c>
      <c r="H1596" s="1" cm="1">
        <f t="array" ref="H1596">SUMPRODUCT(("TFHGV-FCLH2O"=[1]OUT_TransportEnergyCons!$A$3:$A$1000)*1,("Var_Fin"=[1]OUT_TransportEnergyCons!$B$3:$B$1000)*1,ISNUMBER(SEARCH("h2",[1]OUT_TransportEnergyCons!$C$3:$C$1000))*1,[1]OUT_TransportEnergyCons!F$3:F$1000)</f>
        <v>1.0550887178629321E-3</v>
      </c>
      <c r="I1596" s="1" cm="1">
        <f t="array" ref="I1596">SUMPRODUCT(("TFHGV-FCLH2O"=[1]OUT_TransportEnergyCons!$A$3:$A$1000)*1,("Var_Fin"=[1]OUT_TransportEnergyCons!$B$3:$B$1000)*1,ISNUMBER(SEARCH("h2",[1]OUT_TransportEnergyCons!$C$3:$C$1000))*1,[1]OUT_TransportEnergyCons!G$3:G$1000)</f>
        <v>1.7315184728100035E-4</v>
      </c>
      <c r="J1596" s="1" cm="1">
        <f t="array" ref="J1596">SUMPRODUCT(("TFHGV-FCLH2O"=[1]OUT_TransportEnergyCons!$A$3:$A$1000)*1,("Var_Fin"=[1]OUT_TransportEnergyCons!$B$3:$B$1000)*1,ISNUMBER(SEARCH("h2",[1]OUT_TransportEnergyCons!$C$3:$C$1000))*1,[1]OUT_TransportEnergyCons!H$3:H$1000)</f>
        <v>2.399478377110245E-4</v>
      </c>
      <c r="K1596" s="1" cm="1">
        <f t="array" ref="K1596">SUMPRODUCT(("TFHGV-FCLH2O"=[1]OUT_TransportEnergyCons!$A$3:$A$1000)*1,("Var_Fin"=[1]OUT_TransportEnergyCons!$B$3:$B$1000)*1,ISNUMBER(SEARCH("h2",[1]OUT_TransportEnergyCons!$C$3:$C$1000))*1,[1]OUT_TransportEnergyCons!I$3:I$1000)</f>
        <v>2.0329578319636341E-4</v>
      </c>
    </row>
    <row r="1597" spans="2:11" x14ac:dyDescent="0.35">
      <c r="B1597" t="str">
        <f t="shared" si="1033"/>
        <v>SPS1</v>
      </c>
      <c r="C1597" t="str">
        <f t="shared" si="1034"/>
        <v>CH</v>
      </c>
      <c r="D1597" t="s">
        <v>1603</v>
      </c>
      <c r="E1597" t="str">
        <f t="shared" si="1040"/>
        <v>PJ/yr.</v>
      </c>
      <c r="F1597" s="1">
        <f>SUM(F1602:F1603)</f>
        <v>0</v>
      </c>
      <c r="G1597" s="1">
        <f t="shared" ref="G1597:K1597" si="1046">SUM(G1602:G1603)</f>
        <v>0</v>
      </c>
      <c r="H1597" s="1">
        <f t="shared" si="1046"/>
        <v>0</v>
      </c>
      <c r="I1597" s="1">
        <f t="shared" si="1046"/>
        <v>0</v>
      </c>
      <c r="J1597" s="1">
        <f t="shared" si="1046"/>
        <v>0</v>
      </c>
      <c r="K1597" s="1">
        <f t="shared" si="1046"/>
        <v>0</v>
      </c>
    </row>
    <row r="1598" spans="2:11" x14ac:dyDescent="0.35">
      <c r="B1598" t="str">
        <f t="shared" si="1033"/>
        <v>SPS1</v>
      </c>
      <c r="C1598" t="str">
        <f t="shared" si="1034"/>
        <v>CH</v>
      </c>
      <c r="D1598" t="s">
        <v>1604</v>
      </c>
      <c r="E1598" t="str">
        <f t="shared" si="1040"/>
        <v>PJ/yr.</v>
      </c>
      <c r="F1598" s="1">
        <f>F1597-F1599</f>
        <v>0</v>
      </c>
      <c r="G1598" s="1">
        <f t="shared" ref="G1598:K1598" si="1047">G1597-G1599</f>
        <v>0</v>
      </c>
      <c r="H1598" s="1">
        <f t="shared" si="1047"/>
        <v>0</v>
      </c>
      <c r="I1598" s="1">
        <f t="shared" si="1047"/>
        <v>0</v>
      </c>
      <c r="J1598" s="1">
        <f t="shared" si="1047"/>
        <v>0</v>
      </c>
      <c r="K1598" s="1">
        <f t="shared" si="1047"/>
        <v>0</v>
      </c>
    </row>
    <row r="1599" spans="2:11" x14ac:dyDescent="0.35">
      <c r="B1599" t="str">
        <f t="shared" si="1033"/>
        <v>SPS1</v>
      </c>
      <c r="C1599" t="str">
        <f t="shared" si="1034"/>
        <v>CH</v>
      </c>
      <c r="D1599" t="s">
        <v>1605</v>
      </c>
      <c r="E1599" t="str">
        <f t="shared" si="1040"/>
        <v>PJ/yr.</v>
      </c>
      <c r="F1599" s="1">
        <f>SUM(F1600:F1601)</f>
        <v>0</v>
      </c>
      <c r="G1599" s="1">
        <f t="shared" ref="G1599:K1599" si="1048">SUM(G1600:G1601)</f>
        <v>0</v>
      </c>
      <c r="H1599" s="1">
        <f t="shared" si="1048"/>
        <v>0</v>
      </c>
      <c r="I1599" s="1">
        <f t="shared" si="1048"/>
        <v>0</v>
      </c>
      <c r="J1599" s="1">
        <f t="shared" si="1048"/>
        <v>0</v>
      </c>
      <c r="K1599" s="1">
        <f t="shared" si="1048"/>
        <v>0</v>
      </c>
    </row>
    <row r="1600" spans="2:11" x14ac:dyDescent="0.35">
      <c r="B1600" t="str">
        <f t="shared" si="1033"/>
        <v>SPS1</v>
      </c>
      <c r="C1600" t="str">
        <f t="shared" si="1034"/>
        <v>CH</v>
      </c>
      <c r="D1600" t="s">
        <v>1606</v>
      </c>
      <c r="E1600" t="str">
        <f t="shared" si="1040"/>
        <v>PJ/yr.</v>
      </c>
      <c r="F1600" s="1">
        <f>[1]Transport!B$25/SUM([1]Transport!B$21,[1]Transport!B$25)*F1597*(F$34+F$598)/(F$34+F$598+F$37)</f>
        <v>0</v>
      </c>
      <c r="G1600" s="1">
        <f>[1]Transport!C$25/SUM([1]Transport!C$21,[1]Transport!C$25)*G1597*(G$34+G$598)/(G$34+G$598+G$37)</f>
        <v>0</v>
      </c>
      <c r="H1600" s="1">
        <f>[1]Transport!D$25/SUM([1]Transport!D$21,[1]Transport!D$25)*H1597*(H$34+H$598)/(H$34+H$598+H$37)</f>
        <v>0</v>
      </c>
      <c r="I1600" s="1">
        <f>[1]Transport!E$25/SUM([1]Transport!E$21,[1]Transport!E$25)*I1597*(I$34+I$598)/(I$34+I$598+I$37)</f>
        <v>0</v>
      </c>
      <c r="J1600" s="1">
        <f>[1]Transport!F$25/SUM([1]Transport!F$21,[1]Transport!F$25)*J1597*(J$34+J$598)/(J$34+J$598+J$37)</f>
        <v>0</v>
      </c>
      <c r="K1600" s="1">
        <f>[1]Transport!G$25/SUM([1]Transport!G$21,[1]Transport!G$25)*K1597*(K$34+K$598)/(K$34+K$598+K$37)</f>
        <v>0</v>
      </c>
    </row>
    <row r="1601" spans="2:11" x14ac:dyDescent="0.35">
      <c r="B1601" t="str">
        <f t="shared" si="1033"/>
        <v>SPS1</v>
      </c>
      <c r="C1601" t="str">
        <f t="shared" si="1034"/>
        <v>CH</v>
      </c>
      <c r="D1601" t="s">
        <v>1607</v>
      </c>
      <c r="E1601" t="str">
        <f t="shared" si="1040"/>
        <v>PJ/yr.</v>
      </c>
      <c r="F1601" s="1">
        <f>(F$37+F$717)/([1]Transport!B$21+[1]Transport!B$25)*F1597</f>
        <v>0</v>
      </c>
      <c r="G1601" s="1">
        <f>(G$37+G$717)/([1]Transport!C$21+[1]Transport!C$25)*G1597</f>
        <v>0</v>
      </c>
      <c r="H1601" s="1">
        <f>(H$37+H$717)/([1]Transport!D$21+[1]Transport!D$25)*H1597</f>
        <v>0</v>
      </c>
      <c r="I1601" s="1">
        <f>(I$37+I$717)/([1]Transport!E$21+[1]Transport!E$25)*I1597</f>
        <v>0</v>
      </c>
      <c r="J1601" s="1">
        <f>(J$37+J$717)/([1]Transport!F$21+[1]Transport!F$25)*J1597</f>
        <v>0</v>
      </c>
      <c r="K1601" s="1">
        <f>(K$37+K$717)/([1]Transport!G$21+[1]Transport!G$25)*K1597</f>
        <v>0</v>
      </c>
    </row>
    <row r="1602" spans="2:11" x14ac:dyDescent="0.35">
      <c r="B1602" t="str">
        <f t="shared" si="1033"/>
        <v>SPS1</v>
      </c>
      <c r="C1602" t="str">
        <f t="shared" si="1034"/>
        <v>CH</v>
      </c>
      <c r="D1602" t="s">
        <v>1608</v>
      </c>
      <c r="E1602" t="str">
        <f t="shared" si="1040"/>
        <v>PJ/yr.</v>
      </c>
      <c r="F1602" s="1" cm="1">
        <f t="array" ref="F1602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2" s="1" cm="1">
        <f t="array" ref="G1602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2" s="1" cm="1">
        <f t="array" ref="H1602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2" s="1" cm="1">
        <f t="array" ref="I1602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2" s="1" cm="1">
        <f t="array" ref="J1602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2" s="1" cm="1">
        <f t="array" ref="K1602">SUMPRODUCT(("TFHGV-ICEGSLExt"=[1]OUT_TransportEnergyCons!$A$3:$A$1000)*1,("Var_Fin"=[1]OUT_TransportEnergyCons!$B$3:$B$1000)*1,ISNUMBER(SEARCH("gsl",[1]OUT_TransportEnergyCons!$C$3:$C$1000))*1,[1]OUT_TransportEnergyCons!I$3:I$1000)</f>
        <v>0</v>
      </c>
    </row>
    <row r="1603" spans="2:11" x14ac:dyDescent="0.35">
      <c r="B1603" t="str">
        <f t="shared" si="1033"/>
        <v>SPS1</v>
      </c>
      <c r="C1603" t="str">
        <f t="shared" si="1034"/>
        <v>CH</v>
      </c>
      <c r="D1603" t="s">
        <v>1609</v>
      </c>
      <c r="E1603" t="str">
        <f t="shared" si="1040"/>
        <v>PJ/yr.</v>
      </c>
      <c r="F1603" s="1" cm="1">
        <f t="array" ref="F1603">SUMPRODUCT(("TFHGV-ICEGSL"=[1]OUT_TransportEnergyCons!$A$3:$A$1000)*1,("Var_Fin"=[1]OUT_TransportEnergyCons!$B$3:$B$1000)*1,ISNUMBER(SEARCH("gsl",[1]OUT_TransportEnergyCons!$C$3:$C$1000))*1,[1]OUT_TransportEnergyCons!D$3:D$1000)</f>
        <v>0</v>
      </c>
      <c r="G1603" s="1" cm="1">
        <f t="array" ref="G1603">SUMPRODUCT(("TFHGV-ICEGSL"=[1]OUT_TransportEnergyCons!$A$3:$A$1000)*1,("Var_Fin"=[1]OUT_TransportEnergyCons!$B$3:$B$1000)*1,ISNUMBER(SEARCH("gsl",[1]OUT_TransportEnergyCons!$C$3:$C$1000))*1,[1]OUT_TransportEnergyCons!E$3:E$1000)</f>
        <v>0</v>
      </c>
      <c r="H1603" s="1" cm="1">
        <f t="array" ref="H1603">SUMPRODUCT(("TFHGV-ICEGSL"=[1]OUT_TransportEnergyCons!$A$3:$A$1000)*1,("Var_Fin"=[1]OUT_TransportEnergyCons!$B$3:$B$1000)*1,ISNUMBER(SEARCH("gsl",[1]OUT_TransportEnergyCons!$C$3:$C$1000))*1,[1]OUT_TransportEnergyCons!F$3:F$1000)</f>
        <v>0</v>
      </c>
      <c r="I1603" s="1" cm="1">
        <f t="array" ref="I1603">SUMPRODUCT(("TFHGV-ICEGSL"=[1]OUT_TransportEnergyCons!$A$3:$A$1000)*1,("Var_Fin"=[1]OUT_TransportEnergyCons!$B$3:$B$1000)*1,ISNUMBER(SEARCH("gsl",[1]OUT_TransportEnergyCons!$C$3:$C$1000))*1,[1]OUT_TransportEnergyCons!G$3:G$1000)</f>
        <v>0</v>
      </c>
      <c r="J1603" s="1" cm="1">
        <f t="array" ref="J1603">SUMPRODUCT(("TFHGV-ICEGSL"=[1]OUT_TransportEnergyCons!$A$3:$A$1000)*1,("Var_Fin"=[1]OUT_TransportEnergyCons!$B$3:$B$1000)*1,ISNUMBER(SEARCH("gsl",[1]OUT_TransportEnergyCons!$C$3:$C$1000))*1,[1]OUT_TransportEnergyCons!H$3:H$1000)</f>
        <v>0</v>
      </c>
      <c r="K1603" s="1" cm="1">
        <f t="array" ref="K1603">SUMPRODUCT(("TFHGV-ICEGSL"=[1]OUT_TransportEnergyCons!$A$3:$A$1000)*1,("Var_Fin"=[1]OUT_TransportEnergyCons!$B$3:$B$1000)*1,ISNUMBER(SEARCH("gsl",[1]OUT_TransportEnergyCons!$C$3:$C$1000))*1,[1]OUT_TransportEnergyCons!I$3:I$1000)</f>
        <v>0</v>
      </c>
    </row>
    <row r="1604" spans="2:11" x14ac:dyDescent="0.35">
      <c r="B1604" t="str">
        <f t="shared" si="1033"/>
        <v>SPS1</v>
      </c>
      <c r="C1604" t="str">
        <f t="shared" si="1034"/>
        <v>CH</v>
      </c>
      <c r="D1604" t="s">
        <v>1610</v>
      </c>
      <c r="E1604" t="str">
        <f t="shared" si="1040"/>
        <v>PJ/yr.</v>
      </c>
      <c r="F1604" s="1">
        <f>SUM(F1609:F1611)</f>
        <v>24.438771744098091</v>
      </c>
      <c r="G1604" s="1">
        <f t="shared" ref="G1604:K1604" si="1049">SUM(G1609:G1611)</f>
        <v>22.813733761744452</v>
      </c>
      <c r="H1604" s="1">
        <f t="shared" si="1049"/>
        <v>20.449339993140054</v>
      </c>
      <c r="I1604" s="1">
        <f t="shared" si="1049"/>
        <v>16.568776561934719</v>
      </c>
      <c r="J1604" s="1">
        <f t="shared" si="1049"/>
        <v>10.618318544322735</v>
      </c>
      <c r="K1604" s="1">
        <f t="shared" si="1049"/>
        <v>0.43986968457305542</v>
      </c>
    </row>
    <row r="1605" spans="2:11" x14ac:dyDescent="0.35">
      <c r="B1605" t="str">
        <f t="shared" si="1033"/>
        <v>SPS1</v>
      </c>
      <c r="C1605" t="str">
        <f t="shared" si="1034"/>
        <v>CH</v>
      </c>
      <c r="D1605" t="s">
        <v>1611</v>
      </c>
      <c r="E1605" t="str">
        <f t="shared" si="1040"/>
        <v>PJ/yr.</v>
      </c>
      <c r="F1605" s="1">
        <f>F1604-F1606</f>
        <v>23.831497932940415</v>
      </c>
      <c r="G1605" s="1">
        <f t="shared" ref="G1605:K1605" si="1050">G1604-G1606</f>
        <v>22.219191391261958</v>
      </c>
      <c r="H1605" s="1">
        <f t="shared" si="1050"/>
        <v>19.531659739481469</v>
      </c>
      <c r="I1605" s="1">
        <f t="shared" si="1050"/>
        <v>15.672254879772241</v>
      </c>
      <c r="J1605" s="1">
        <f t="shared" si="1050"/>
        <v>3.1598758370378279</v>
      </c>
      <c r="K1605" s="1">
        <f t="shared" si="1050"/>
        <v>-1.300612770300311</v>
      </c>
    </row>
    <row r="1606" spans="2:11" x14ac:dyDescent="0.35">
      <c r="B1606" t="str">
        <f t="shared" si="1033"/>
        <v>SPS1</v>
      </c>
      <c r="C1606" t="str">
        <f t="shared" si="1034"/>
        <v>CH</v>
      </c>
      <c r="D1606" t="s">
        <v>1612</v>
      </c>
      <c r="E1606" t="str">
        <f t="shared" si="1040"/>
        <v>PJ/yr.</v>
      </c>
      <c r="F1606" s="1">
        <f>SUM(F1607:F1608)</f>
        <v>0.60727381115767365</v>
      </c>
      <c r="G1606" s="1">
        <f t="shared" ref="G1606:K1606" si="1051">SUM(G1607:G1608)</f>
        <v>0.59454237048249492</v>
      </c>
      <c r="H1606" s="1">
        <f t="shared" si="1051"/>
        <v>0.91768025365858297</v>
      </c>
      <c r="I1606" s="1">
        <f t="shared" si="1051"/>
        <v>0.89652168216247696</v>
      </c>
      <c r="J1606" s="1">
        <f t="shared" si="1051"/>
        <v>7.4584427072849069</v>
      </c>
      <c r="K1606" s="1">
        <f t="shared" si="1051"/>
        <v>1.7404824548733664</v>
      </c>
    </row>
    <row r="1607" spans="2:11" x14ac:dyDescent="0.35">
      <c r="B1607" t="str">
        <f t="shared" si="1033"/>
        <v>SPS1</v>
      </c>
      <c r="C1607" t="str">
        <f t="shared" si="1034"/>
        <v>CH</v>
      </c>
      <c r="D1607" t="s">
        <v>1613</v>
      </c>
      <c r="E1607" t="str">
        <f t="shared" si="1040"/>
        <v>PJ/yr.</v>
      </c>
      <c r="F1607" s="1">
        <f>[1]Transport!B$26/SUM([1]Transport!B$22,[1]Transport!B$26)*F1604*(F$33+F$580)/(F$33+F$580+F$36)</f>
        <v>0.60727381115767365</v>
      </c>
      <c r="G1607" s="1">
        <f>[1]Transport!C$26/SUM([1]Transport!C$22,[1]Transport!C$26)*G1604*(G$33+G$580)/(G$33+G$580+G$36)</f>
        <v>0.59454237048249492</v>
      </c>
      <c r="H1607" s="1">
        <f>[1]Transport!D$26/SUM([1]Transport!D$22,[1]Transport!D$26)*H1604*(H$33+H$580)/(H$33+H$580+H$36)</f>
        <v>0.91768025365858297</v>
      </c>
      <c r="I1607" s="1">
        <f>[1]Transport!E$26/SUM([1]Transport!E$22,[1]Transport!E$26)*I1604*(I$33+I$580)/(I$33+I$580+I$36)</f>
        <v>0.89652168216247696</v>
      </c>
      <c r="J1607" s="1">
        <f>[1]Transport!F$26/SUM([1]Transport!F$22,[1]Transport!F$26)*J1604*(J$33+J$580)/(J$33+J$580+J$36)</f>
        <v>0.29684691468766683</v>
      </c>
      <c r="K1607" s="1">
        <f>[1]Transport!G$26/SUM([1]Transport!G$22,[1]Transport!G$26)*K1604*(K$33+K$580)/(K$33+K$580+K$36)</f>
        <v>0.15032451032747099</v>
      </c>
    </row>
    <row r="1608" spans="2:11" x14ac:dyDescent="0.35">
      <c r="B1608" t="str">
        <f t="shared" si="1033"/>
        <v>SPS1</v>
      </c>
      <c r="C1608" t="str">
        <f t="shared" si="1034"/>
        <v>CH</v>
      </c>
      <c r="D1608" t="s">
        <v>1614</v>
      </c>
      <c r="E1608" t="str">
        <f t="shared" si="1040"/>
        <v>PJ/yr.</v>
      </c>
      <c r="F1608" s="1">
        <f>(F$36+F$716)/([1]Transport!B$22+[1]Transport!B$26)*F1604</f>
        <v>0</v>
      </c>
      <c r="G1608" s="1">
        <f>(G$36+G$716)/([1]Transport!C$22+[1]Transport!C$26)*G1604</f>
        <v>0</v>
      </c>
      <c r="H1608" s="1">
        <f>(H$36+H$716)/([1]Transport!D$22+[1]Transport!D$26)*H1604</f>
        <v>0</v>
      </c>
      <c r="I1608" s="1">
        <f>(I$36+I$716)/([1]Transport!E$22+[1]Transport!E$26)*I1604</f>
        <v>0</v>
      </c>
      <c r="J1608" s="1">
        <f>(J$36+J$716)/([1]Transport!F$22+[1]Transport!F$26)*J1604</f>
        <v>7.1615957925972404</v>
      </c>
      <c r="K1608" s="1">
        <f>(K$36+K$716)/([1]Transport!G$22+[1]Transport!G$26)*K1604</f>
        <v>1.5901579445458953</v>
      </c>
    </row>
    <row r="1609" spans="2:11" x14ac:dyDescent="0.35">
      <c r="B1609" t="str">
        <f t="shared" si="1033"/>
        <v>SPS1</v>
      </c>
      <c r="C1609" t="str">
        <f t="shared" si="1034"/>
        <v>CH</v>
      </c>
      <c r="D1609" t="s">
        <v>1615</v>
      </c>
      <c r="E1609" t="str">
        <f t="shared" si="1040"/>
        <v>PJ/yr.</v>
      </c>
      <c r="F1609" s="1" cm="1">
        <f t="array" ref="F1609">SUMPRODUCT(("TFHGV-ICEdslExt"=[1]OUT_TransportEnergyCons!$A$3:$A$1000)*1,("Var_Fin"=[1]OUT_TransportEnergyCons!$B$3:$B$1000)*1,ISNUMBER(SEARCH("dsl",[1]OUT_TransportEnergyCons!$C$3:$C$1000))*1,[1]OUT_TransportEnergyCons!D$3:D$1000)</f>
        <v>19.238801198454542</v>
      </c>
      <c r="G1609" s="1" cm="1">
        <f t="array" ref="G1609">SUMPRODUCT(("TFHGV-ICEdslExt"=[1]OUT_TransportEnergyCons!$A$3:$A$1000)*1,("Var_Fin"=[1]OUT_TransportEnergyCons!$B$3:$B$1000)*1,ISNUMBER(SEARCH("dsl",[1]OUT_TransportEnergyCons!$C$3:$C$1000))*1,[1]OUT_TransportEnergyCons!E$3:E$1000)</f>
        <v>15.558566855285063</v>
      </c>
      <c r="H1609" s="1" cm="1">
        <f t="array" ref="H1609">SUMPRODUCT(("TFHGV-ICEdslExt"=[1]OUT_TransportEnergyCons!$A$3:$A$1000)*1,("Var_Fin"=[1]OUT_TransportEnergyCons!$B$3:$B$1000)*1,ISNUMBER(SEARCH("dsl",[1]OUT_TransportEnergyCons!$C$3:$C$1000))*1,[1]OUT_TransportEnergyCons!F$3:F$1000)</f>
        <v>11.47878031851678</v>
      </c>
      <c r="I1609" s="1" cm="1">
        <f t="array" ref="I1609">SUMPRODUCT(("TFHGV-ICEdslExt"=[1]OUT_TransportEnergyCons!$A$3:$A$1000)*1,("Var_Fin"=[1]OUT_TransportEnergyCons!$B$3:$B$1000)*1,ISNUMBER(SEARCH("dsl",[1]OUT_TransportEnergyCons!$C$3:$C$1000))*1,[1]OUT_TransportEnergyCons!G$3:G$1000)</f>
        <v>4.9483898397127088</v>
      </c>
      <c r="J1609" s="1" cm="1">
        <f t="array" ref="J1609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09" s="1" cm="1">
        <f t="array" ref="K1609">SUMPRODUCT(("TFHGV-ICEdslExt"=[1]OUT_TransportEnergyCons!$A$3:$A$1000)*1,("Var_Fin"=[1]OUT_TransportEnergyCons!$B$3:$B$1000)*1,ISNUMBER(SEARCH("dsl",[1]OUT_TransportEnergyCons!$C$3:$C$1000))*1,[1]OUT_TransportEnergyCons!I$3:I$1000)</f>
        <v>0</v>
      </c>
    </row>
    <row r="1610" spans="2:11" x14ac:dyDescent="0.35">
      <c r="B1610" t="str">
        <f t="shared" si="1033"/>
        <v>SPS1</v>
      </c>
      <c r="C1610" t="str">
        <f t="shared" si="1034"/>
        <v>CH</v>
      </c>
      <c r="D1610" t="s">
        <v>1616</v>
      </c>
      <c r="E1610" t="str">
        <f t="shared" si="1040"/>
        <v>PJ/yr.</v>
      </c>
      <c r="F1610" s="1" cm="1">
        <f t="array" ref="F1610">SUMPRODUCT(("TFHGV-ICEdsl"=[1]OUT_TransportEnergyCons!$A$3:$A$1000)*1,("Var_Fin"=[1]OUT_TransportEnergyCons!$B$3:$B$1000)*1,ISNUMBER(SEARCH("dsl",[1]OUT_TransportEnergyCons!$C$3:$C$1000))*1,[1]OUT_TransportEnergyCons!D$3:D$1000)</f>
        <v>5.1999705456435494</v>
      </c>
      <c r="G1610" s="1" cm="1">
        <f t="array" ref="G1610">SUMPRODUCT(("TFHGV-ICEdsl"=[1]OUT_TransportEnergyCons!$A$3:$A$1000)*1,("Var_Fin"=[1]OUT_TransportEnergyCons!$B$3:$B$1000)*1,ISNUMBER(SEARCH("dsl",[1]OUT_TransportEnergyCons!$C$3:$C$1000))*1,[1]OUT_TransportEnergyCons!E$3:E$1000)</f>
        <v>6.0959761912905917</v>
      </c>
      <c r="H1610" s="1" cm="1">
        <f t="array" ref="H1610">SUMPRODUCT(("TFHGV-ICEdsl"=[1]OUT_TransportEnergyCons!$A$3:$A$1000)*1,("Var_Fin"=[1]OUT_TransportEnergyCons!$B$3:$B$1000)*1,ISNUMBER(SEARCH("dsl",[1]OUT_TransportEnergyCons!$C$3:$C$1000))*1,[1]OUT_TransportEnergyCons!F$3:F$1000)</f>
        <v>4.783506940487344</v>
      </c>
      <c r="I1610" s="1" cm="1">
        <f t="array" ref="I1610">SUMPRODUCT(("TFHGV-ICEdsl"=[1]OUT_TransportEnergyCons!$A$3:$A$1000)*1,("Var_Fin"=[1]OUT_TransportEnergyCons!$B$3:$B$1000)*1,ISNUMBER(SEARCH("dsl",[1]OUT_TransportEnergyCons!$C$3:$C$1000))*1,[1]OUT_TransportEnergyCons!G$3:G$1000)</f>
        <v>0.44075730049368939</v>
      </c>
      <c r="J1610" s="1" cm="1">
        <f t="array" ref="J1610">SUMPRODUCT(("TFHGV-ICEdsl"=[1]OUT_TransportEnergyCons!$A$3:$A$1000)*1,("Var_Fin"=[1]OUT_TransportEnergyCons!$B$3:$B$1000)*1,ISNUMBER(SEARCH("dsl",[1]OUT_TransportEnergyCons!$C$3:$C$1000))*1,[1]OUT_TransportEnergyCons!H$3:H$1000)</f>
        <v>5.1938897894448902E-4</v>
      </c>
      <c r="K1610" s="1" cm="1">
        <f t="array" ref="K1610">SUMPRODUCT(("TFHGV-ICEdsl"=[1]OUT_TransportEnergyCons!$A$3:$A$1000)*1,("Var_Fin"=[1]OUT_TransportEnergyCons!$B$3:$B$1000)*1,ISNUMBER(SEARCH("dsl",[1]OUT_TransportEnergyCons!$C$3:$C$1000))*1,[1]OUT_TransportEnergyCons!I$3:I$1000)</f>
        <v>5.0007852154382266E-5</v>
      </c>
    </row>
    <row r="1611" spans="2:11" x14ac:dyDescent="0.35">
      <c r="B1611" t="str">
        <f t="shared" si="1033"/>
        <v>SPS1</v>
      </c>
      <c r="C1611" t="str">
        <f t="shared" si="1034"/>
        <v>CH</v>
      </c>
      <c r="D1611" t="s">
        <v>1617</v>
      </c>
      <c r="E1611" t="str">
        <f t="shared" si="1040"/>
        <v>PJ/yr.</v>
      </c>
      <c r="F1611" s="1" cm="1">
        <f t="array" ref="F1611">SUMPRODUCT(("TFHGV-HYBDSL"=[1]OUT_TransportEnergyCons!$A$3:$A$1000)*1,("Var_Fin"=[1]OUT_TransportEnergyCons!$B$3:$B$1000)*1,ISNUMBER(SEARCH("dsl",[1]OUT_TransportEnergyCons!$C$3:$C$1000))*1,[1]OUT_TransportEnergyCons!D$3:D$1000)</f>
        <v>0</v>
      </c>
      <c r="G1611" s="1" cm="1">
        <f t="array" ref="G1611">SUMPRODUCT(("TFHGV-HYBDSL"=[1]OUT_TransportEnergyCons!$A$3:$A$1000)*1,("Var_Fin"=[1]OUT_TransportEnergyCons!$B$3:$B$1000)*1,ISNUMBER(SEARCH("dsl",[1]OUT_TransportEnergyCons!$C$3:$C$1000))*1,[1]OUT_TransportEnergyCons!E$3:E$1000)</f>
        <v>1.1591907151687986</v>
      </c>
      <c r="H1611" s="1" cm="1">
        <f t="array" ref="H1611">SUMPRODUCT(("TFHGV-HYBDSL"=[1]OUT_TransportEnergyCons!$A$3:$A$1000)*1,("Var_Fin"=[1]OUT_TransportEnergyCons!$B$3:$B$1000)*1,ISNUMBER(SEARCH("dsl",[1]OUT_TransportEnergyCons!$C$3:$C$1000))*1,[1]OUT_TransportEnergyCons!F$3:F$1000)</f>
        <v>4.1870527341359285</v>
      </c>
      <c r="I1611" s="1" cm="1">
        <f t="array" ref="I1611">SUMPRODUCT(("TFHGV-HYBDSL"=[1]OUT_TransportEnergyCons!$A$3:$A$1000)*1,("Var_Fin"=[1]OUT_TransportEnergyCons!$B$3:$B$1000)*1,ISNUMBER(SEARCH("dsl",[1]OUT_TransportEnergyCons!$C$3:$C$1000))*1,[1]OUT_TransportEnergyCons!G$3:G$1000)</f>
        <v>11.179629421728322</v>
      </c>
      <c r="J1611" s="1" cm="1">
        <f t="array" ref="J1611">SUMPRODUCT(("TFHGV-HYBDSL"=[1]OUT_TransportEnergyCons!$A$3:$A$1000)*1,("Var_Fin"=[1]OUT_TransportEnergyCons!$B$3:$B$1000)*1,ISNUMBER(SEARCH("dsl",[1]OUT_TransportEnergyCons!$C$3:$C$1000))*1,[1]OUT_TransportEnergyCons!H$3:H$1000)</f>
        <v>10.617799155343791</v>
      </c>
      <c r="K1611" s="1" cm="1">
        <f t="array" ref="K1611">SUMPRODUCT(("TFHGV-HYBDSL"=[1]OUT_TransportEnergyCons!$A$3:$A$1000)*1,("Var_Fin"=[1]OUT_TransportEnergyCons!$B$3:$B$1000)*1,ISNUMBER(SEARCH("dsl",[1]OUT_TransportEnergyCons!$C$3:$C$1000))*1,[1]OUT_TransportEnergyCons!I$3:I$1000)</f>
        <v>0.43981967672090105</v>
      </c>
    </row>
    <row r="1612" spans="2:11" x14ac:dyDescent="0.35">
      <c r="B1612" t="str">
        <f t="shared" si="1033"/>
        <v>SPS1</v>
      </c>
      <c r="C1612" t="str">
        <f t="shared" si="1034"/>
        <v>CH</v>
      </c>
      <c r="D1612" t="s">
        <v>1618</v>
      </c>
      <c r="E1612" t="str">
        <f t="shared" si="1040"/>
        <v>PJ/yr.</v>
      </c>
      <c r="F1612" s="1">
        <f>F1617</f>
        <v>6.2544248916917011E-2</v>
      </c>
      <c r="G1612" s="1">
        <f t="shared" ref="G1612:K1612" si="1052">G1617</f>
        <v>3.0974976126869314E-3</v>
      </c>
      <c r="H1612" s="1">
        <f t="shared" si="1052"/>
        <v>4.095436754545748E-3</v>
      </c>
      <c r="I1612" s="1">
        <f t="shared" si="1052"/>
        <v>3.9291514523721845E-3</v>
      </c>
      <c r="J1612" s="1">
        <f t="shared" si="1052"/>
        <v>3.5902020149116069E-3</v>
      </c>
      <c r="K1612" s="1">
        <f t="shared" si="1052"/>
        <v>2.6631316617018092E-4</v>
      </c>
    </row>
    <row r="1613" spans="2:11" x14ac:dyDescent="0.35">
      <c r="B1613" t="str">
        <f t="shared" si="1033"/>
        <v>SPS1</v>
      </c>
      <c r="C1613" t="str">
        <f t="shared" si="1034"/>
        <v>CH</v>
      </c>
      <c r="D1613" t="s">
        <v>1619</v>
      </c>
      <c r="E1613" t="str">
        <f t="shared" si="1040"/>
        <v>PJ/yr.</v>
      </c>
      <c r="F1613" s="1">
        <f>F1612-F1614</f>
        <v>5.7864933751530324E-2</v>
      </c>
      <c r="G1613" s="1">
        <f t="shared" ref="G1613:K1613" si="1053">G1612-G1614</f>
        <v>2.7979065099176374E-3</v>
      </c>
      <c r="H1613" s="1">
        <f t="shared" si="1053"/>
        <v>4.055103880702818E-3</v>
      </c>
      <c r="I1613" s="1">
        <f t="shared" si="1053"/>
        <v>3.8820911231022166E-3</v>
      </c>
      <c r="J1613" s="1">
        <f t="shared" si="1053"/>
        <v>3.2190866578148225E-3</v>
      </c>
      <c r="K1613" s="1">
        <f t="shared" si="1053"/>
        <v>1.1206134215595423E-4</v>
      </c>
    </row>
    <row r="1614" spans="2:11" x14ac:dyDescent="0.35">
      <c r="B1614" t="str">
        <f t="shared" si="1033"/>
        <v>SPS1</v>
      </c>
      <c r="C1614" t="str">
        <f t="shared" si="1034"/>
        <v>CH</v>
      </c>
      <c r="D1614" t="s">
        <v>1620</v>
      </c>
      <c r="E1614" t="str">
        <f t="shared" si="1040"/>
        <v>PJ/yr.</v>
      </c>
      <c r="F1614" s="1">
        <f>SUM(F1615:F1616)</f>
        <v>4.6793151653866851E-3</v>
      </c>
      <c r="G1614" s="1">
        <f t="shared" ref="G1614:K1614" si="1054">SUM(G1615:G1616)</f>
        <v>2.9959110276929404E-4</v>
      </c>
      <c r="H1614" s="1">
        <f t="shared" si="1054"/>
        <v>4.0332873842930117E-5</v>
      </c>
      <c r="I1614" s="1">
        <f t="shared" si="1054"/>
        <v>4.7060329269967669E-5</v>
      </c>
      <c r="J1614" s="1">
        <f t="shared" si="1054"/>
        <v>3.7111535709678447E-4</v>
      </c>
      <c r="K1614" s="1">
        <f t="shared" si="1054"/>
        <v>1.542518240142267E-4</v>
      </c>
    </row>
    <row r="1615" spans="2:11" x14ac:dyDescent="0.35">
      <c r="B1615" t="str">
        <f t="shared" si="1033"/>
        <v>SPS1</v>
      </c>
      <c r="C1615" t="str">
        <f t="shared" si="1034"/>
        <v>CH</v>
      </c>
      <c r="D1615" t="s">
        <v>1621</v>
      </c>
      <c r="E1615" t="str">
        <f t="shared" si="1040"/>
        <v>PJ/yr.</v>
      </c>
      <c r="F1615" s="1">
        <f>[1]Transport!B$27/SUM([1]Transport!B$24,[1]Transport!B$27)*F1612*(F$45+F$612)/(F$45+F$612+F$47)</f>
        <v>4.6793151653866851E-3</v>
      </c>
      <c r="G1615" s="1">
        <f>[1]Transport!C$27/SUM([1]Transport!C$24,[1]Transport!C$27)*G1612*(G$45+G$612)/(G$45+G$612+G$47)</f>
        <v>2.9959110276929404E-4</v>
      </c>
      <c r="H1615" s="1">
        <f>[1]Transport!D$27/SUM([1]Transport!D$24,[1]Transport!D$27)*H1612*(H$45+H$612)/(H$45+H$612+H$47)</f>
        <v>4.0332873842930117E-5</v>
      </c>
      <c r="I1615" s="1">
        <f>[1]Transport!E$27/SUM([1]Transport!E$24,[1]Transport!E$27)*I1612*(I$45+I$612)/(I$45+I$612+I$47)</f>
        <v>4.7060329269967669E-5</v>
      </c>
      <c r="J1615" s="1">
        <f>[1]Transport!F$27/SUM([1]Transport!F$24,[1]Transport!F$27)*J1612*(J$45+J$612)/(J$45+J$612+J$47)</f>
        <v>1.3405316470160622E-4</v>
      </c>
      <c r="K1615" s="1">
        <f>[1]Transport!G$27/SUM([1]Transport!G$24,[1]Transport!G$27)*K1612*(K$45+K$612)/(K$45+K$612+K$47)</f>
        <v>4.4182265527440115E-5</v>
      </c>
    </row>
    <row r="1616" spans="2:11" x14ac:dyDescent="0.35">
      <c r="B1616" t="str">
        <f t="shared" si="1033"/>
        <v>SPS1</v>
      </c>
      <c r="C1616" t="str">
        <f t="shared" si="1034"/>
        <v>CH</v>
      </c>
      <c r="D1616" t="s">
        <v>1622</v>
      </c>
      <c r="E1616" t="str">
        <f t="shared" si="1040"/>
        <v>PJ/yr.</v>
      </c>
      <c r="F1616" s="1">
        <f>(F$47+F$714)/([1]Transport!B$24+[1]Transport!B$27)*F1612</f>
        <v>0</v>
      </c>
      <c r="G1616" s="1">
        <f>(G$47+G$714)/([1]Transport!C$24+[1]Transport!C$27)*G1612</f>
        <v>0</v>
      </c>
      <c r="H1616" s="1">
        <f>(H$47+H$714)/([1]Transport!D$24+[1]Transport!D$27)*H1612</f>
        <v>0</v>
      </c>
      <c r="I1616" s="1">
        <f>(I$47+I$714)/([1]Transport!E$24+[1]Transport!E$27)*I1612</f>
        <v>0</v>
      </c>
      <c r="J1616" s="1">
        <f>(J$47+J$714)/([1]Transport!F$24+[1]Transport!F$27)*J1612</f>
        <v>2.3706219239517825E-4</v>
      </c>
      <c r="K1616" s="1">
        <f>(K$47+K$714)/([1]Transport!G$24+[1]Transport!G$27)*K1612</f>
        <v>1.1006955848678658E-4</v>
      </c>
    </row>
    <row r="1617" spans="2:11" x14ac:dyDescent="0.35">
      <c r="B1617" t="str">
        <f t="shared" si="1033"/>
        <v>SPS1</v>
      </c>
      <c r="C1617" t="str">
        <f t="shared" si="1034"/>
        <v>CH</v>
      </c>
      <c r="D1617" t="s">
        <v>1623</v>
      </c>
      <c r="E1617" t="str">
        <f t="shared" si="1040"/>
        <v>PJ/yr.</v>
      </c>
      <c r="F1617" s="1" cm="1">
        <f t="array" ref="F1617">SUMPRODUCT(("TFHGV-ICENGA"=[1]OUT_TransportEnergyCons!$A$3:$A$1000)*1,("Var_Fin"=[1]OUT_TransportEnergyCons!$B$3:$B$1000)*1,ISNUMBER(SEARCH("nga",[1]OUT_TransportEnergyCons!$C$3:$C$1000))*1,[1]OUT_TransportEnergyCons!D$3:D$1000)</f>
        <v>6.2544248916917011E-2</v>
      </c>
      <c r="G1617" s="1" cm="1">
        <f t="array" ref="G1617">SUMPRODUCT(("TFHGV-ICENGA"=[1]OUT_TransportEnergyCons!$A$3:$A$1000)*1,("Var_Fin"=[1]OUT_TransportEnergyCons!$B$3:$B$1000)*1,ISNUMBER(SEARCH("nga",[1]OUT_TransportEnergyCons!$C$3:$C$1000))*1,[1]OUT_TransportEnergyCons!E$3:E$1000)</f>
        <v>3.0974976126869314E-3</v>
      </c>
      <c r="H1617" s="1" cm="1">
        <f t="array" ref="H1617">SUMPRODUCT(("TFHGV-ICENGA"=[1]OUT_TransportEnergyCons!$A$3:$A$1000)*1,("Var_Fin"=[1]OUT_TransportEnergyCons!$B$3:$B$1000)*1,ISNUMBER(SEARCH("nga",[1]OUT_TransportEnergyCons!$C$3:$C$1000))*1,[1]OUT_TransportEnergyCons!F$3:F$1000)</f>
        <v>4.095436754545748E-3</v>
      </c>
      <c r="I1617" s="1" cm="1">
        <f t="array" ref="I1617">SUMPRODUCT(("TFHGV-ICENGA"=[1]OUT_TransportEnergyCons!$A$3:$A$1000)*1,("Var_Fin"=[1]OUT_TransportEnergyCons!$B$3:$B$1000)*1,ISNUMBER(SEARCH("nga",[1]OUT_TransportEnergyCons!$C$3:$C$1000))*1,[1]OUT_TransportEnergyCons!G$3:G$1000)</f>
        <v>3.9291514523721845E-3</v>
      </c>
      <c r="J1617" s="1" cm="1">
        <f t="array" ref="J1617">SUMPRODUCT(("TFHGV-ICENGA"=[1]OUT_TransportEnergyCons!$A$3:$A$1000)*1,("Var_Fin"=[1]OUT_TransportEnergyCons!$B$3:$B$1000)*1,ISNUMBER(SEARCH("nga",[1]OUT_TransportEnergyCons!$C$3:$C$1000))*1,[1]OUT_TransportEnergyCons!H$3:H$1000)</f>
        <v>3.5902020149116069E-3</v>
      </c>
      <c r="K1617" s="1" cm="1">
        <f t="array" ref="K1617">SUMPRODUCT(("TFHGV-ICENGA"=[1]OUT_TransportEnergyCons!$A$3:$A$1000)*1,("Var_Fin"=[1]OUT_TransportEnergyCons!$B$3:$B$1000)*1,ISNUMBER(SEARCH("nga",[1]OUT_TransportEnergyCons!$C$3:$C$1000))*1,[1]OUT_TransportEnergyCons!I$3:I$1000)</f>
        <v>2.6631316617018092E-4</v>
      </c>
    </row>
    <row r="1618" spans="2:11" x14ac:dyDescent="0.35">
      <c r="B1618" s="2" t="str">
        <f t="shared" si="1033"/>
        <v>SPS1</v>
      </c>
      <c r="C1618" s="2" t="str">
        <f t="shared" si="1034"/>
        <v>CH</v>
      </c>
      <c r="D1618" s="2" t="s">
        <v>1624</v>
      </c>
      <c r="E1618" s="2" t="s">
        <v>1518</v>
      </c>
      <c r="F1618" s="3">
        <f>SUM(F1619:F1627)</f>
        <v>2.2034206764712394</v>
      </c>
      <c r="G1618" s="3">
        <f t="shared" ref="G1618" si="1055">SUM(G1619:G1627)</f>
        <v>2.226353373857509</v>
      </c>
      <c r="H1618" s="3">
        <f t="shared" ref="H1618" si="1056">SUM(H1619:H1627)</f>
        <v>2.258022911962676</v>
      </c>
      <c r="I1618" s="3">
        <f t="shared" ref="I1618" si="1057">SUM(I1619:I1627)</f>
        <v>2.3126204631267071</v>
      </c>
      <c r="J1618" s="3">
        <f t="shared" ref="J1618" si="1058">SUM(J1619:J1627)</f>
        <v>2.5112198275682021</v>
      </c>
      <c r="K1618" s="3">
        <f t="shared" ref="K1618" si="1059">SUM(K1619:K1627)</f>
        <v>2.7105188486258434</v>
      </c>
    </row>
    <row r="1619" spans="2:11" x14ac:dyDescent="0.35">
      <c r="B1619" t="str">
        <f t="shared" si="1033"/>
        <v>SPS1</v>
      </c>
      <c r="C1619" t="str">
        <f t="shared" si="1034"/>
        <v>CH</v>
      </c>
      <c r="D1619" t="s">
        <v>1625</v>
      </c>
      <c r="E1619" t="s">
        <v>1518</v>
      </c>
      <c r="F1619" s="1" cm="1">
        <f t="array" ref="F1619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19" s="1" cm="1">
        <f t="array" ref="G1619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19" s="1" cm="1">
        <f t="array" ref="H1619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19" s="1" cm="1">
        <f t="array" ref="I1619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19" s="1" cm="1">
        <f t="array" ref="J1619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19" s="1" cm="1">
        <f t="array" ref="K1619">SUMPRODUCT(("TFHGV-BeVELCExt"=[1]OUT_TransportEnergyCons!$A$3:$A$1000)*1,("var_fout"=[1]OUT_TransportEnergyCons!$B$3:$B$1000)*1,ISNUMBER(SEARCH("TFHGV",[1]OUT_TransportEnergyCons!$C$3:$C$1000))*1,[1]OUT_TransportEnergyCons!I$3:I$1000)</f>
        <v>0</v>
      </c>
    </row>
    <row r="1620" spans="2:11" x14ac:dyDescent="0.35">
      <c r="B1620" t="str">
        <f t="shared" si="1033"/>
        <v>SPS1</v>
      </c>
      <c r="C1620" t="str">
        <f t="shared" si="1034"/>
        <v>CH</v>
      </c>
      <c r="D1620" t="s">
        <v>1626</v>
      </c>
      <c r="E1620" t="s">
        <v>1518</v>
      </c>
      <c r="F1620" s="1" cm="1">
        <f t="array" ref="F1620">SUMPRODUCT(("TFHGV-BEVELC"=[1]OUT_TransportEnergyCons!$A$3:$A$1000)*1,("var_fout"=[1]OUT_TransportEnergyCons!$B$3:$B$1000)*1,ISNUMBER(SEARCH("TFHGV",[1]OUT_TransportEnergyCons!$C$3:$C$1000))*1,[1]OUT_TransportEnergyCons!D$3:D$1000)</f>
        <v>2.5756610907651323E-3</v>
      </c>
      <c r="G1620" s="1" cm="1">
        <f t="array" ref="G1620">SUMPRODUCT(("TFHGV-BEVELC"=[1]OUT_TransportEnergyCons!$A$3:$A$1000)*1,("var_fout"=[1]OUT_TransportEnergyCons!$B$3:$B$1000)*1,ISNUMBER(SEARCH("TFHGV",[1]OUT_TransportEnergyCons!$C$3:$C$1000))*1,[1]OUT_TransportEnergyCons!E$3:E$1000)</f>
        <v>5.883667487684735E-3</v>
      </c>
      <c r="H1620" s="1" cm="1">
        <f t="array" ref="H1620">SUMPRODUCT(("TFHGV-BEVELC"=[1]OUT_TransportEnergyCons!$A$3:$A$1000)*1,("var_fout"=[1]OUT_TransportEnergyCons!$B$3:$B$1000)*1,ISNUMBER(SEARCH("TFHGV",[1]OUT_TransportEnergyCons!$C$3:$C$1000))*1,[1]OUT_TransportEnergyCons!F$3:F$1000)</f>
        <v>5.8057001772700177E-3</v>
      </c>
      <c r="I1620" s="1" cm="1">
        <f t="array" ref="I1620">SUMPRODUCT(("TFHGV-BEVELC"=[1]OUT_TransportEnergyCons!$A$3:$A$1000)*1,("var_fout"=[1]OUT_TransportEnergyCons!$B$3:$B$1000)*1,ISNUMBER(SEARCH("TFHGV",[1]OUT_TransportEnergyCons!$C$3:$C$1000))*1,[1]OUT_TransportEnergyCons!G$3:G$1000)</f>
        <v>1.5331090741417474E-3</v>
      </c>
      <c r="J1620" s="1" cm="1">
        <f t="array" ref="J1620">SUMPRODUCT(("TFHGV-BEVELC"=[1]OUT_TransportEnergyCons!$A$3:$A$1000)*1,("var_fout"=[1]OUT_TransportEnergyCons!$B$3:$B$1000)*1,ISNUMBER(SEARCH("TFHGV",[1]OUT_TransportEnergyCons!$C$3:$C$1000))*1,[1]OUT_TransportEnergyCons!H$3:H$1000)</f>
        <v>0.77502694676236583</v>
      </c>
      <c r="K1620" s="1" cm="1">
        <f t="array" ref="K1620">SUMPRODUCT(("TFHGV-BEVELC"=[1]OUT_TransportEnergyCons!$A$3:$A$1000)*1,("var_fout"=[1]OUT_TransportEnergyCons!$B$3:$B$1000)*1,ISNUMBER(SEARCH("TFHGV",[1]OUT_TransportEnergyCons!$C$3:$C$1000))*1,[1]OUT_TransportEnergyCons!I$3:I$1000)</f>
        <v>2.6385405974125153</v>
      </c>
    </row>
    <row r="1621" spans="2:11" x14ac:dyDescent="0.35">
      <c r="B1621" t="str">
        <f t="shared" si="1033"/>
        <v>SPS1</v>
      </c>
      <c r="C1621" t="str">
        <f t="shared" si="1034"/>
        <v>CH</v>
      </c>
      <c r="D1621" t="s">
        <v>1627</v>
      </c>
      <c r="E1621" t="s">
        <v>1518</v>
      </c>
      <c r="F1621" s="1" cm="1">
        <f t="array" ref="F1621">SUMPRODUCT(("TFHGV-FCLH2O"=[1]OUT_TransportEnergyCons!$A$3:$A$1000)*1,("var_fout"=[1]OUT_TransportEnergyCons!$B$3:$B$1000)*1,ISNUMBER(SEARCH("TFHGV",[1]OUT_TransportEnergyCons!$C$3:$C$1000))*1,[1]OUT_TransportEnergyCons!D$3:D$1000)</f>
        <v>4.4397980280908966E-4</v>
      </c>
      <c r="G1621" s="1" cm="1">
        <f t="array" ref="G1621">SUMPRODUCT(("TFHGV-FCLH2O"=[1]OUT_TransportEnergyCons!$A$3:$A$1000)*1,("var_fout"=[1]OUT_TransportEnergyCons!$B$3:$B$1000)*1,ISNUMBER(SEARCH("TFHGV",[1]OUT_TransportEnergyCons!$C$3:$C$1000))*1,[1]OUT_TransportEnergyCons!E$3:E$1000)</f>
        <v>1.8485305345024183E-4</v>
      </c>
      <c r="H1621" s="1" cm="1">
        <f t="array" ref="H1621">SUMPRODUCT(("TFHGV-FCLH2O"=[1]OUT_TransportEnergyCons!$A$3:$A$1000)*1,("var_fout"=[1]OUT_TransportEnergyCons!$B$3:$B$1000)*1,ISNUMBER(SEARCH("TFHGV",[1]OUT_TransportEnergyCons!$C$3:$C$1000))*1,[1]OUT_TransportEnergyCons!F$3:F$1000)</f>
        <v>1.8496753237826682E-4</v>
      </c>
      <c r="I1621" s="1" cm="1">
        <f t="array" ref="I1621">SUMPRODUCT(("TFHGV-FCLH2O"=[1]OUT_TransportEnergyCons!$A$3:$A$1000)*1,("var_fout"=[1]OUT_TransportEnergyCons!$B$3:$B$1000)*1,ISNUMBER(SEARCH("TFHGV",[1]OUT_TransportEnergyCons!$C$3:$C$1000))*1,[1]OUT_TransportEnergyCons!G$3:G$1000)</f>
        <v>3.0788447639060568E-5</v>
      </c>
      <c r="J1621" s="1" cm="1">
        <f t="array" ref="J1621">SUMPRODUCT(("TFHGV-FCLH2O"=[1]OUT_TransportEnergyCons!$A$3:$A$1000)*1,("var_fout"=[1]OUT_TransportEnergyCons!$B$3:$B$1000)*1,ISNUMBER(SEARCH("TFHGV",[1]OUT_TransportEnergyCons!$C$3:$C$1000))*1,[1]OUT_TransportEnergyCons!H$3:H$1000)</f>
        <v>4.7946576740515885E-5</v>
      </c>
      <c r="K1621" s="1" cm="1">
        <f t="array" ref="K1621">SUMPRODUCT(("TFHGV-FCLH2O"=[1]OUT_TransportEnergyCons!$A$3:$A$1000)*1,("var_fout"=[1]OUT_TransportEnergyCons!$B$3:$B$1000)*1,ISNUMBER(SEARCH("TFHGV",[1]OUT_TransportEnergyCons!$C$3:$C$1000))*1,[1]OUT_TransportEnergyCons!I$3:I$1000)</f>
        <v>4.414020377403187E-5</v>
      </c>
    </row>
    <row r="1622" spans="2:11" x14ac:dyDescent="0.35">
      <c r="B1622" t="str">
        <f t="shared" si="1033"/>
        <v>SPS1</v>
      </c>
      <c r="C1622" t="str">
        <f t="shared" si="1034"/>
        <v>CH</v>
      </c>
      <c r="D1622" t="s">
        <v>1628</v>
      </c>
      <c r="E1622" t="s">
        <v>1518</v>
      </c>
      <c r="F1622" s="1" cm="1">
        <f t="array" ref="F1622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2" s="1" cm="1">
        <f t="array" ref="G1622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2" s="1" cm="1">
        <f t="array" ref="H1622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2" s="1" cm="1">
        <f t="array" ref="I1622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2" s="1" cm="1">
        <f t="array" ref="J1622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2" s="1" cm="1">
        <f t="array" ref="K1622">SUMPRODUCT(("TFHGV-ICEGSLExt"=[1]OUT_TransportEnergyCons!$A$3:$A$1000)*1,("var_fout"=[1]OUT_TransportEnergyCons!$B$3:$B$1000)*1,ISNUMBER(SEARCH("TFHGV",[1]OUT_TransportEnergyCons!$C$3:$C$1000))*1,[1]OUT_TransportEnergyCons!I$3:I$1000)</f>
        <v>0</v>
      </c>
    </row>
    <row r="1623" spans="2:11" x14ac:dyDescent="0.35">
      <c r="B1623" t="str">
        <f t="shared" si="1033"/>
        <v>SPS1</v>
      </c>
      <c r="C1623" t="str">
        <f t="shared" si="1034"/>
        <v>CH</v>
      </c>
      <c r="D1623" t="s">
        <v>1629</v>
      </c>
      <c r="E1623" t="s">
        <v>1518</v>
      </c>
      <c r="F1623" s="1" cm="1">
        <f t="array" ref="F1623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3" s="1" cm="1">
        <f t="array" ref="G1623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3" s="1" cm="1">
        <f t="array" ref="H1623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3" s="1" cm="1">
        <f t="array" ref="I1623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3" s="1" cm="1">
        <f t="array" ref="J1623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3" s="1" cm="1">
        <f t="array" ref="K1623">SUMPRODUCT(("TFHGV-ICEGSL"=[1]OUT_TransportEnergyCons!$A$3:$A$1000)*1,("var_fout"=[1]OUT_TransportEnergyCons!$B$3:$B$1000)*1,ISNUMBER(SEARCH("TFHGV",[1]OUT_TransportEnergyCons!$C$3:$C$1000))*1,[1]OUT_TransportEnergyCons!I$3:I$1000)</f>
        <v>0</v>
      </c>
    </row>
    <row r="1624" spans="2:11" x14ac:dyDescent="0.35">
      <c r="B1624" t="str">
        <f t="shared" si="1033"/>
        <v>SPS1</v>
      </c>
      <c r="C1624" t="str">
        <f t="shared" si="1034"/>
        <v>CH</v>
      </c>
      <c r="D1624" t="s">
        <v>1630</v>
      </c>
      <c r="E1624" t="s">
        <v>1518</v>
      </c>
      <c r="F1624" s="1" cm="1">
        <f t="array" ref="F1624">SUMPRODUCT(("TFHGV-ICEdslExt"=[1]OUT_TransportEnergyCons!$A$3:$A$1000)*1,("var_fout"=[1]OUT_TransportEnergyCons!$B$3:$B$1000)*1,ISNUMBER(SEARCH("TFHGV",[1]OUT_TransportEnergyCons!$C$3:$C$1000))*1,[1]OUT_TransportEnergyCons!D$3:D$1000)</f>
        <v>1.5766902082344187</v>
      </c>
      <c r="G1624" s="1" cm="1">
        <f t="array" ref="G1624">SUMPRODUCT(("TFHGV-ICEdslExt"=[1]OUT_TransportEnergyCons!$A$3:$A$1000)*1,("var_fout"=[1]OUT_TransportEnergyCons!$B$3:$B$1000)*1,ISNUMBER(SEARCH("TFHGV",[1]OUT_TransportEnergyCons!$C$3:$C$1000))*1,[1]OUT_TransportEnergyCons!E$3:E$1000)</f>
        <v>1.3068606584543554</v>
      </c>
      <c r="H1624" s="1" cm="1">
        <f t="array" ref="H1624">SUMPRODUCT(("TFHGV-ICEdslExt"=[1]OUT_TransportEnergyCons!$A$3:$A$1000)*1,("var_fout"=[1]OUT_TransportEnergyCons!$B$3:$B$1000)*1,ISNUMBER(SEARCH("TFHGV",[1]OUT_TransportEnergyCons!$C$3:$C$1000))*1,[1]OUT_TransportEnergyCons!F$3:F$1000)</f>
        <v>0.99934300172822543</v>
      </c>
      <c r="I1624" s="1" cm="1">
        <f t="array" ref="I1624">SUMPRODUCT(("TFHGV-ICEdslExt"=[1]OUT_TransportEnergyCons!$A$3:$A$1000)*1,("var_fout"=[1]OUT_TransportEnergyCons!$B$3:$B$1000)*1,ISNUMBER(SEARCH("TFHGV",[1]OUT_TransportEnergyCons!$C$3:$C$1000))*1,[1]OUT_TransportEnergyCons!G$3:G$1000)</f>
        <v>0.4308069863627228</v>
      </c>
      <c r="J1624" s="1" cm="1">
        <f t="array" ref="J1624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SUMPRODUCT(("TFHGV-ICEdslExt"=[1]OUT_TransportEnergyCons!$A$3:$A$1000)*1,("var_fout"=[1]OUT_TransportEnergyCons!$B$3:$B$1000)*1,ISNUMBER(SEARCH("TFHGV",[1]OUT_TransportEnergyCons!$C$3:$C$1000))*1,[1]OUT_TransportEnergyCons!I$3:I$1000)</f>
        <v>0</v>
      </c>
    </row>
    <row r="1625" spans="2:11" x14ac:dyDescent="0.35">
      <c r="B1625" t="str">
        <f t="shared" si="1033"/>
        <v>SPS1</v>
      </c>
      <c r="C1625" t="str">
        <f t="shared" si="1034"/>
        <v>CH</v>
      </c>
      <c r="D1625" t="s">
        <v>1631</v>
      </c>
      <c r="E1625" t="s">
        <v>1518</v>
      </c>
      <c r="F1625" s="1" cm="1">
        <f t="array" ref="F1625">SUMPRODUCT(("TFHGV-ICEdsl"=[1]OUT_TransportEnergyCons!$A$3:$A$1000)*1,("var_fout"=[1]OUT_TransportEnergyCons!$B$3:$B$1000)*1,ISNUMBER(SEARCH("TFHGV",[1]OUT_TransportEnergyCons!$C$3:$C$1000))*1,[1]OUT_TransportEnergyCons!D$3:D$1000)</f>
        <v>0.61725478145914026</v>
      </c>
      <c r="G1625" s="1" cm="1">
        <f t="array" ref="G1625">SUMPRODUCT(("TFHGV-ICEdsl"=[1]OUT_TransportEnergyCons!$A$3:$A$1000)*1,("var_fout"=[1]OUT_TransportEnergyCons!$B$3:$B$1000)*1,ISNUMBER(SEARCH("TFHGV",[1]OUT_TransportEnergyCons!$C$3:$C$1000))*1,[1]OUT_TransportEnergyCons!E$3:E$1000)</f>
        <v>0.72361380102192874</v>
      </c>
      <c r="H1625" s="1" cm="1">
        <f t="array" ref="H1625">SUMPRODUCT(("TFHGV-ICEdsl"=[1]OUT_TransportEnergyCons!$A$3:$A$1000)*1,("var_fout"=[1]OUT_TransportEnergyCons!$B$3:$B$1000)*1,ISNUMBER(SEARCH("TFHGV",[1]OUT_TransportEnergyCons!$C$3:$C$1000))*1,[1]OUT_TransportEnergyCons!F$3:F$1000)</f>
        <v>0.56781908767396183</v>
      </c>
      <c r="I1625" s="1" cm="1">
        <f t="array" ref="I1625">SUMPRODUCT(("TFHGV-ICEdsl"=[1]OUT_TransportEnergyCons!$A$3:$A$1000)*1,("var_fout"=[1]OUT_TransportEnergyCons!$B$3:$B$1000)*1,ISNUMBER(SEARCH("TFHGV",[1]OUT_TransportEnergyCons!$C$3:$C$1000))*1,[1]OUT_TransportEnergyCons!G$3:G$1000)</f>
        <v>5.2319440813117658E-2</v>
      </c>
      <c r="J1625" s="1" cm="1">
        <f t="array" ref="J1625">SUMPRODUCT(("TFHGV-ICEdsl"=[1]OUT_TransportEnergyCons!$A$3:$A$1000)*1,("var_fout"=[1]OUT_TransportEnergyCons!$B$3:$B$1000)*1,ISNUMBER(SEARCH("TFHGV",[1]OUT_TransportEnergyCons!$C$3:$C$1000))*1,[1]OUT_TransportEnergyCons!H$3:H$1000)</f>
        <v>6.1653297432474159E-5</v>
      </c>
      <c r="K1625" s="1" cm="1">
        <f t="array" ref="K1625">SUMPRODUCT(("TFHGV-ICEdsl"=[1]OUT_TransportEnergyCons!$A$3:$A$1000)*1,("var_fout"=[1]OUT_TransportEnergyCons!$B$3:$B$1000)*1,ISNUMBER(SEARCH("TFHGV",[1]OUT_TransportEnergyCons!$C$3:$C$1000))*1,[1]OUT_TransportEnergyCons!I$3:I$1000)</f>
        <v>5.936107826351938E-6</v>
      </c>
    </row>
    <row r="1626" spans="2:11" x14ac:dyDescent="0.35">
      <c r="B1626" t="str">
        <f t="shared" si="1033"/>
        <v>SPS1</v>
      </c>
      <c r="C1626" t="str">
        <f t="shared" si="1034"/>
        <v>CH</v>
      </c>
      <c r="D1626" t="s">
        <v>1632</v>
      </c>
      <c r="E1626" t="s">
        <v>1518</v>
      </c>
      <c r="F1626" s="1" cm="1">
        <f t="array" ref="F1626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6" s="1" cm="1">
        <f t="array" ref="G1626">SUMPRODUCT(("TFHGV-HYBDSL"=[1]OUT_TransportEnergyCons!$A$3:$A$1000)*1,("var_fout"=[1]OUT_TransportEnergyCons!$B$3:$B$1000)*1,ISNUMBER(SEARCH("TFHGV",[1]OUT_TransportEnergyCons!$C$3:$C$1000))*1,[1]OUT_TransportEnergyCons!E$3:E$1000)</f>
        <v>0.18948925718843315</v>
      </c>
      <c r="H1626" s="1" cm="1">
        <f t="array" ref="H1626">SUMPRODUCT(("TFHGV-HYBDSL"=[1]OUT_TransportEnergyCons!$A$3:$A$1000)*1,("var_fout"=[1]OUT_TransportEnergyCons!$B$3:$B$1000)*1,ISNUMBER(SEARCH("TFHGV",[1]OUT_TransportEnergyCons!$C$3:$C$1000))*1,[1]OUT_TransportEnergyCons!F$3:F$1000)</f>
        <v>0.6844443300123243</v>
      </c>
      <c r="I1626" s="1" cm="1">
        <f t="array" ref="I1626">SUMPRODUCT(("TFHGV-HYBDSL"=[1]OUT_TransportEnergyCons!$A$3:$A$1000)*1,("var_fout"=[1]OUT_TransportEnergyCons!$B$3:$B$1000)*1,ISNUMBER(SEARCH("TFHGV",[1]OUT_TransportEnergyCons!$C$3:$C$1000))*1,[1]OUT_TransportEnergyCons!G$3:G$1000)</f>
        <v>1.8274988291782268</v>
      </c>
      <c r="J1626" s="1" cm="1">
        <f t="array" ref="J1626">SUMPRODUCT(("TFHGV-HYBDSL"=[1]OUT_TransportEnergyCons!$A$3:$A$1000)*1,("var_fout"=[1]OUT_TransportEnergyCons!$B$3:$B$1000)*1,ISNUMBER(SEARCH("TFHGV",[1]OUT_TransportEnergyCons!$C$3:$C$1000))*1,[1]OUT_TransportEnergyCons!H$3:H$1000)</f>
        <v>1.7356582041196671</v>
      </c>
      <c r="K1626" s="1" cm="1">
        <f t="array" ref="K1626">SUMPRODUCT(("TFHGV-HYBDSL"=[1]OUT_TransportEnergyCons!$A$3:$A$1000)*1,("var_fout"=[1]OUT_TransportEnergyCons!$B$3:$B$1000)*1,ISNUMBER(SEARCH("TFHGV",[1]OUT_TransportEnergyCons!$C$3:$C$1000))*1,[1]OUT_TransportEnergyCons!I$3:I$1000)</f>
        <v>7.1895938043779403E-2</v>
      </c>
    </row>
    <row r="1627" spans="2:11" x14ac:dyDescent="0.35">
      <c r="B1627" t="str">
        <f t="shared" si="1033"/>
        <v>SPS1</v>
      </c>
      <c r="C1627" t="str">
        <f t="shared" si="1034"/>
        <v>CH</v>
      </c>
      <c r="D1627" t="s">
        <v>1633</v>
      </c>
      <c r="E1627" t="s">
        <v>1518</v>
      </c>
      <c r="F1627" s="1" cm="1">
        <f t="array" ref="F1627">SUMPRODUCT(("TFHGV-ICENGA"=[1]OUT_TransportEnergyCons!$A$3:$A$1000)*1,("var_fout"=[1]OUT_TransportEnergyCons!$B$3:$B$1000)*1,ISNUMBER(SEARCH("TFHGV",[1]OUT_TransportEnergyCons!$C$3:$C$1000))*1,[1]OUT_TransportEnergyCons!D$3:D$1000)</f>
        <v>6.4560458841064735E-3</v>
      </c>
      <c r="G1627" s="1" cm="1">
        <f t="array" ref="G1627">SUMPRODUCT(("TFHGV-ICENGA"=[1]OUT_TransportEnergyCons!$A$3:$A$1000)*1,("var_fout"=[1]OUT_TransportEnergyCons!$B$3:$B$1000)*1,ISNUMBER(SEARCH("TFHGV",[1]OUT_TransportEnergyCons!$C$3:$C$1000))*1,[1]OUT_TransportEnergyCons!E$3:E$1000)</f>
        <v>3.2113665165678677E-4</v>
      </c>
      <c r="H1627" s="1" cm="1">
        <f t="array" ref="H1627">SUMPRODUCT(("TFHGV-ICENGA"=[1]OUT_TransportEnergyCons!$A$3:$A$1000)*1,("var_fout"=[1]OUT_TransportEnergyCons!$B$3:$B$1000)*1,ISNUMBER(SEARCH("TFHGV",[1]OUT_TransportEnergyCons!$C$3:$C$1000))*1,[1]OUT_TransportEnergyCons!F$3:F$1000)</f>
        <v>4.2582483851645874E-4</v>
      </c>
      <c r="I1627" s="1" cm="1">
        <f t="array" ref="I1627">SUMPRODUCT(("TFHGV-ICENGA"=[1]OUT_TransportEnergyCons!$A$3:$A$1000)*1,("var_fout"=[1]OUT_TransportEnergyCons!$B$3:$B$1000)*1,ISNUMBER(SEARCH("TFHGV",[1]OUT_TransportEnergyCons!$C$3:$C$1000))*1,[1]OUT_TransportEnergyCons!G$3:G$1000)</f>
        <v>4.3130925085880769E-4</v>
      </c>
      <c r="J1627" s="1" cm="1">
        <f t="array" ref="J1627">SUMPRODUCT(("TFHGV-ICENGA"=[1]OUT_TransportEnergyCons!$A$3:$A$1000)*1,("var_fout"=[1]OUT_TransportEnergyCons!$B$3:$B$1000)*1,ISNUMBER(SEARCH("TFHGV",[1]OUT_TransportEnergyCons!$C$3:$C$1000))*1,[1]OUT_TransportEnergyCons!H$3:H$1000)</f>
        <v>4.2507681199636558E-4</v>
      </c>
      <c r="K1627" s="1" cm="1">
        <f t="array" ref="K1627">SUMPRODUCT(("TFHGV-ICENGA"=[1]OUT_TransportEnergyCons!$A$3:$A$1000)*1,("var_fout"=[1]OUT_TransportEnergyCons!$B$3:$B$1000)*1,ISNUMBER(SEARCH("TFHGV",[1]OUT_TransportEnergyCons!$C$3:$C$1000))*1,[1]OUT_TransportEnergyCons!I$3:I$1000)</f>
        <v>3.2236857948418812E-5</v>
      </c>
    </row>
    <row r="1628" spans="2:11" x14ac:dyDescent="0.35">
      <c r="B1628" s="2" t="str">
        <f t="shared" si="1033"/>
        <v>SPS1</v>
      </c>
      <c r="C1628" s="2" t="str">
        <f t="shared" si="1034"/>
        <v>CH</v>
      </c>
      <c r="D1628" s="2" t="s">
        <v>1634</v>
      </c>
      <c r="E1628" s="2" t="s">
        <v>1230</v>
      </c>
      <c r="F1628" s="24" t="s">
        <v>292</v>
      </c>
      <c r="G1628" s="24" t="s">
        <v>292</v>
      </c>
      <c r="H1628" s="24" t="s">
        <v>292</v>
      </c>
      <c r="I1628" s="24" t="s">
        <v>292</v>
      </c>
      <c r="J1628" s="24" t="s">
        <v>292</v>
      </c>
      <c r="K1628" s="24" t="s">
        <v>292</v>
      </c>
    </row>
    <row r="1629" spans="2:11" x14ac:dyDescent="0.35">
      <c r="B1629" t="str">
        <f t="shared" si="1033"/>
        <v>SPS1</v>
      </c>
      <c r="C1629" t="str">
        <f t="shared" si="1034"/>
        <v>CH</v>
      </c>
      <c r="D1629" t="s">
        <v>1635</v>
      </c>
      <c r="E1629" t="str">
        <f>E1628</f>
        <v>km/MJ</v>
      </c>
      <c r="F1629" s="1" t="str">
        <f>IFERROR(F1619/F1593,"-")</f>
        <v>-</v>
      </c>
      <c r="G1629" s="1" t="str">
        <f t="shared" ref="G1629:K1629" si="1060">IFERROR(G1619/G1593,"-")</f>
        <v>-</v>
      </c>
      <c r="H1629" s="1" t="str">
        <f t="shared" si="1060"/>
        <v>-</v>
      </c>
      <c r="I1629" s="1" t="str">
        <f t="shared" si="1060"/>
        <v>-</v>
      </c>
      <c r="J1629" s="1" t="str">
        <f t="shared" si="1060"/>
        <v>-</v>
      </c>
      <c r="K1629" s="1" t="str">
        <f t="shared" si="1060"/>
        <v>-</v>
      </c>
    </row>
    <row r="1630" spans="2:11" x14ac:dyDescent="0.35">
      <c r="B1630" t="str">
        <f t="shared" si="1033"/>
        <v>SPS1</v>
      </c>
      <c r="C1630" t="str">
        <f t="shared" si="1034"/>
        <v>CH</v>
      </c>
      <c r="D1630" t="s">
        <v>1636</v>
      </c>
      <c r="E1630" t="str">
        <f t="shared" ref="E1630:E1637" si="1061">E1629</f>
        <v>km/MJ</v>
      </c>
      <c r="F1630" s="1">
        <f>IFERROR(F1620/F1594,"-")</f>
        <v>0.26872776416540911</v>
      </c>
      <c r="G1630" s="1">
        <f t="shared" ref="G1630:K1630" si="1062">IFERROR(G1620/G1594,"-")</f>
        <v>0.27009320304506895</v>
      </c>
      <c r="H1630" s="1">
        <f t="shared" si="1062"/>
        <v>0.27062179539575576</v>
      </c>
      <c r="I1630" s="1">
        <f t="shared" si="1062"/>
        <v>0.27408777416568009</v>
      </c>
      <c r="J1630" s="1">
        <f t="shared" si="1062"/>
        <v>0.31370030962148981</v>
      </c>
      <c r="K1630" s="1">
        <f t="shared" si="1062"/>
        <v>0.33878954259543725</v>
      </c>
    </row>
    <row r="1631" spans="2:11" x14ac:dyDescent="0.35">
      <c r="B1631" t="str">
        <f t="shared" si="1033"/>
        <v>SPS1</v>
      </c>
      <c r="C1631" t="str">
        <f t="shared" si="1034"/>
        <v>CH</v>
      </c>
      <c r="D1631" t="s">
        <v>1637</v>
      </c>
      <c r="E1631" t="str">
        <f t="shared" si="1061"/>
        <v>km/MJ</v>
      </c>
      <c r="F1631" s="1">
        <f>IFERROR(F1621/F1596,"-")</f>
        <v>0.17445873125089911</v>
      </c>
      <c r="G1631" s="1">
        <f t="shared" ref="G1631:K1631" si="1063">IFERROR(G1621/G1596,"-")</f>
        <v>0.17518315702199197</v>
      </c>
      <c r="H1631" s="1">
        <f t="shared" si="1063"/>
        <v>0.17530993294375855</v>
      </c>
      <c r="I1631" s="1">
        <f t="shared" si="1063"/>
        <v>0.17781183465571337</v>
      </c>
      <c r="J1631" s="1">
        <f t="shared" si="1063"/>
        <v>0.19982083271889789</v>
      </c>
      <c r="K1631" s="1">
        <f t="shared" si="1063"/>
        <v>0.2171230661060827</v>
      </c>
    </row>
    <row r="1632" spans="2:11" x14ac:dyDescent="0.35">
      <c r="B1632" t="str">
        <f t="shared" si="1033"/>
        <v>SPS1</v>
      </c>
      <c r="C1632" t="str">
        <f t="shared" si="1034"/>
        <v>CH</v>
      </c>
      <c r="D1632" t="s">
        <v>1638</v>
      </c>
      <c r="E1632" t="str">
        <f t="shared" si="1061"/>
        <v>km/MJ</v>
      </c>
      <c r="F1632" s="1" t="str">
        <f>IFERROR(F1622/F1602,"-")</f>
        <v>-</v>
      </c>
      <c r="G1632" s="1" t="str">
        <f t="shared" ref="G1632:K1632" si="1064">IFERROR(G1622/G1602,"-")</f>
        <v>-</v>
      </c>
      <c r="H1632" s="1" t="str">
        <f t="shared" si="1064"/>
        <v>-</v>
      </c>
      <c r="I1632" s="1" t="str">
        <f t="shared" si="1064"/>
        <v>-</v>
      </c>
      <c r="J1632" s="1" t="str">
        <f t="shared" si="1064"/>
        <v>-</v>
      </c>
      <c r="K1632" s="1" t="str">
        <f t="shared" si="1064"/>
        <v>-</v>
      </c>
    </row>
    <row r="1633" spans="2:11" x14ac:dyDescent="0.35">
      <c r="B1633" t="str">
        <f t="shared" si="1033"/>
        <v>SPS1</v>
      </c>
      <c r="C1633" t="str">
        <f t="shared" si="1034"/>
        <v>CH</v>
      </c>
      <c r="D1633" t="s">
        <v>1639</v>
      </c>
      <c r="E1633" t="str">
        <f t="shared" si="1061"/>
        <v>km/MJ</v>
      </c>
      <c r="F1633" s="1" t="str">
        <f>IFERROR(F1623/F1603,"-")</f>
        <v>-</v>
      </c>
      <c r="G1633" s="1" t="str">
        <f t="shared" ref="G1633:K1633" si="1065">IFERROR(G1623/G1603,"-")</f>
        <v>-</v>
      </c>
      <c r="H1633" s="1" t="str">
        <f t="shared" si="1065"/>
        <v>-</v>
      </c>
      <c r="I1633" s="1" t="str">
        <f t="shared" si="1065"/>
        <v>-</v>
      </c>
      <c r="J1633" s="1" t="str">
        <f t="shared" si="1065"/>
        <v>-</v>
      </c>
      <c r="K1633" s="1" t="str">
        <f t="shared" si="1065"/>
        <v>-</v>
      </c>
    </row>
    <row r="1634" spans="2:11" x14ac:dyDescent="0.35">
      <c r="B1634" t="str">
        <f t="shared" si="1033"/>
        <v>SPS1</v>
      </c>
      <c r="C1634" t="str">
        <f t="shared" si="1034"/>
        <v>CH</v>
      </c>
      <c r="D1634" t="s">
        <v>1640</v>
      </c>
      <c r="E1634" t="str">
        <f t="shared" si="1061"/>
        <v>km/MJ</v>
      </c>
      <c r="F1634" s="1">
        <f>IFERROR(F1624/F1609,"-")</f>
        <v>8.1953661871669775E-2</v>
      </c>
      <c r="G1634" s="1">
        <f t="shared" ref="G1634:K1634" si="1066">IFERROR(G1624/G1609,"-")</f>
        <v>8.3996210615660274E-2</v>
      </c>
      <c r="H1634" s="1">
        <f t="shared" si="1066"/>
        <v>8.706003373164603E-2</v>
      </c>
      <c r="I1634" s="1">
        <f t="shared" si="1066"/>
        <v>8.7060033731646003E-2</v>
      </c>
      <c r="J1634" s="1" t="str">
        <f t="shared" si="1066"/>
        <v>-</v>
      </c>
      <c r="K1634" s="1" t="str">
        <f t="shared" si="1066"/>
        <v>-</v>
      </c>
    </row>
    <row r="1635" spans="2:11" x14ac:dyDescent="0.35">
      <c r="B1635" t="str">
        <f t="shared" si="1033"/>
        <v>SPS1</v>
      </c>
      <c r="C1635" t="str">
        <f t="shared" si="1034"/>
        <v>CH</v>
      </c>
      <c r="D1635" t="s">
        <v>1641</v>
      </c>
      <c r="E1635" t="str">
        <f t="shared" si="1061"/>
        <v>km/MJ</v>
      </c>
      <c r="F1635" s="1">
        <f>IFERROR(F1625/F1610,"-")</f>
        <v>0.11870351496053497</v>
      </c>
      <c r="G1635" s="1">
        <f t="shared" ref="G1635:K1635" si="1067">IFERROR(G1625/G1610,"-")</f>
        <v>0.11870351496053513</v>
      </c>
      <c r="H1635" s="1">
        <f t="shared" si="1067"/>
        <v>0.11870351496053487</v>
      </c>
      <c r="I1635" s="1">
        <f t="shared" si="1067"/>
        <v>0.11870351496053495</v>
      </c>
      <c r="J1635" s="1">
        <f t="shared" si="1067"/>
        <v>0.11870351496053501</v>
      </c>
      <c r="K1635" s="1">
        <f t="shared" si="1067"/>
        <v>0.11870351496053501</v>
      </c>
    </row>
    <row r="1636" spans="2:11" x14ac:dyDescent="0.35">
      <c r="B1636" t="str">
        <f t="shared" si="1033"/>
        <v>SPS1</v>
      </c>
      <c r="C1636" t="str">
        <f t="shared" si="1034"/>
        <v>CH</v>
      </c>
      <c r="D1636" t="s">
        <v>1642</v>
      </c>
      <c r="E1636" t="str">
        <f t="shared" si="1061"/>
        <v>km/MJ</v>
      </c>
      <c r="F1636" s="1" t="str">
        <f>IFERROR(F1626/F1611,"-")</f>
        <v>-</v>
      </c>
      <c r="G1636" s="1">
        <f t="shared" ref="G1636:K1636" si="1068">IFERROR(G1626/G1611,"-")</f>
        <v>0.16346685209675801</v>
      </c>
      <c r="H1636" s="1">
        <f t="shared" si="1068"/>
        <v>0.16346685209675807</v>
      </c>
      <c r="I1636" s="1">
        <f t="shared" si="1068"/>
        <v>0.1634668520967579</v>
      </c>
      <c r="J1636" s="1">
        <f t="shared" si="1068"/>
        <v>0.16346685209675815</v>
      </c>
      <c r="K1636" s="1">
        <f t="shared" si="1068"/>
        <v>0.1634668520967579</v>
      </c>
    </row>
    <row r="1637" spans="2:11" x14ac:dyDescent="0.35">
      <c r="B1637" t="str">
        <f t="shared" si="1033"/>
        <v>SPS1</v>
      </c>
      <c r="C1637" t="str">
        <f t="shared" si="1034"/>
        <v>CH</v>
      </c>
      <c r="D1637" t="s">
        <v>1643</v>
      </c>
      <c r="E1637" t="str">
        <f t="shared" si="1061"/>
        <v>km/MJ</v>
      </c>
      <c r="F1637" s="1">
        <f>IFERROR(F1627/F1617,"-")</f>
        <v>0.10322365358775998</v>
      </c>
      <c r="G1637" s="1">
        <f t="shared" ref="G1637:K1637" si="1069">IFERROR(G1627/G1617,"-")</f>
        <v>0.1036761579222707</v>
      </c>
      <c r="H1637" s="1">
        <f t="shared" si="1069"/>
        <v>0.10397543999277063</v>
      </c>
      <c r="I1637" s="1">
        <f t="shared" si="1069"/>
        <v>0.10977160236427363</v>
      </c>
      <c r="J1637" s="1">
        <f t="shared" si="1069"/>
        <v>0.11839913470908997</v>
      </c>
      <c r="K1637" s="1">
        <f t="shared" si="1069"/>
        <v>0.12104868269193508</v>
      </c>
    </row>
    <row r="1638" spans="2:11" x14ac:dyDescent="0.35">
      <c r="B1638" s="2" t="str">
        <f>B1637</f>
        <v>SPS1</v>
      </c>
      <c r="C1638" s="2" t="str">
        <f>C1637</f>
        <v>CH</v>
      </c>
      <c r="D1638" s="2" t="s">
        <v>1652</v>
      </c>
      <c r="E1638" s="2" t="s">
        <v>8</v>
      </c>
      <c r="F1638" s="1">
        <f>F1639+F1643+F1647+F1653</f>
        <v>28.743323765388791</v>
      </c>
      <c r="G1638" s="1">
        <f t="shared" ref="G1638:K1638" si="1070">G1639+G1643+G1647+G1653</f>
        <v>27.954477237768003</v>
      </c>
      <c r="H1638" s="1">
        <f t="shared" si="1070"/>
        <v>27.181498851165404</v>
      </c>
      <c r="I1638" s="1">
        <f t="shared" si="1070"/>
        <v>26.949720139837183</v>
      </c>
      <c r="J1638" s="1">
        <f t="shared" si="1070"/>
        <v>28.081136034057106</v>
      </c>
      <c r="K1638" s="1">
        <f t="shared" si="1070"/>
        <v>28.975913077531061</v>
      </c>
    </row>
    <row r="1639" spans="2:11" x14ac:dyDescent="0.35">
      <c r="B1639" t="str">
        <f t="shared" ref="B1639:B1660" si="1071">B1638</f>
        <v>SPS1</v>
      </c>
      <c r="C1639" t="str">
        <f t="shared" ref="C1639:C1682" si="1072">C1638</f>
        <v>CH</v>
      </c>
      <c r="D1639" t="s">
        <v>1653</v>
      </c>
      <c r="E1639" t="s">
        <v>8</v>
      </c>
      <c r="F1639" s="1">
        <f>SUM(F1640:F1642)</f>
        <v>9.2070292770485374</v>
      </c>
      <c r="G1639" s="1">
        <f t="shared" ref="G1639:K1639" si="1073">SUM(G1640:G1642)</f>
        <v>9.4962416272463219</v>
      </c>
      <c r="H1639" s="1">
        <f t="shared" si="1073"/>
        <v>9.9542322397580882</v>
      </c>
      <c r="I1639" s="1">
        <f t="shared" si="1073"/>
        <v>10.606171718146985</v>
      </c>
      <c r="J1639" s="1">
        <f t="shared" si="1073"/>
        <v>11.737464271224251</v>
      </c>
      <c r="K1639" s="1">
        <f t="shared" si="1073"/>
        <v>12.632996402586011</v>
      </c>
    </row>
    <row r="1640" spans="2:11" x14ac:dyDescent="0.35">
      <c r="B1640" t="str">
        <f t="shared" si="1071"/>
        <v>SPS1</v>
      </c>
      <c r="C1640" t="str">
        <f t="shared" si="1072"/>
        <v>CH</v>
      </c>
      <c r="D1640" t="s">
        <v>1654</v>
      </c>
      <c r="E1640" t="str">
        <f t="shared" ref="E1640:E1642" si="1074">E1639</f>
        <v>PJ/yr.</v>
      </c>
      <c r="F1640" s="1" cm="1">
        <f t="array" ref="F1640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0" s="1" cm="1">
        <f t="array" ref="G1640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0" s="1" cm="1">
        <f t="array" ref="H1640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0" s="1" cm="1">
        <f t="array" ref="I1640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0" s="1" cm="1">
        <f t="array" ref="J1640">SUMPRODUCT(("TPRLPELCEXT"=[1]OUT_TransportEnergyCons!$A$3:$A$1000)*1,("Var_Fin"=[1]OUT_TransportEnergyCons!$B$3:$B$1000)*1,ISNUMBER(SEARCH("ELC",[1]OUT_TransportEnergyCons!$C$3:$C$1000))*1,[1]OUT_TransportEnergyCons!H$3:H$1000)</f>
        <v>9.7092334937384894</v>
      </c>
      <c r="K1640" s="1" cm="1">
        <f t="array" ref="K1640">SUMPRODUCT(("TPRLPELCEXT"=[1]OUT_TransportEnergyCons!$A$3:$A$1000)*1,("Var_Fin"=[1]OUT_TransportEnergyCons!$B$3:$B$1000)*1,ISNUMBER(SEARCH("ELC",[1]OUT_TransportEnergyCons!$C$3:$C$1000))*1,[1]OUT_TransportEnergyCons!I$3:I$1000)</f>
        <v>10.452486086380047</v>
      </c>
    </row>
    <row r="1641" spans="2:11" x14ac:dyDescent="0.35">
      <c r="B1641" t="str">
        <f t="shared" si="1071"/>
        <v>SPS1</v>
      </c>
      <c r="C1641" t="str">
        <f t="shared" si="1072"/>
        <v>CH</v>
      </c>
      <c r="D1641" t="s">
        <v>1655</v>
      </c>
      <c r="E1641" t="str">
        <f t="shared" si="1074"/>
        <v>PJ/yr.</v>
      </c>
      <c r="F1641" s="1" cm="1">
        <f t="array" ref="F1641">SUMPRODUCT(("TFRLFELCEXT"=[1]OUT_TransportEnergyCons!$A$3:$A$1000)*1,("Var_Fin"=[1]OUT_TransportEnergyCons!$B$3:$B$1000)*1,ISNUMBER(SEARCH("ELC",[1]OUT_TransportEnergyCons!$C$3:$C$1000))*1,[1]OUT_TransportEnergyCons!D$3:D$1000)</f>
        <v>1.5023092639475919</v>
      </c>
      <c r="G1641" s="1" cm="1">
        <f t="array" ref="G1641">SUMPRODUCT(("TFRLFELCEXT"=[1]OUT_TransportEnergyCons!$A$3:$A$1000)*1,("Var_Fin"=[1]OUT_TransportEnergyCons!$B$3:$B$1000)*1,ISNUMBER(SEARCH("ELC",[1]OUT_TransportEnergyCons!$C$3:$C$1000))*1,[1]OUT_TransportEnergyCons!E$3:E$1000)</f>
        <v>1.5903328796156115</v>
      </c>
      <c r="H1641" s="1" cm="1">
        <f t="array" ref="H1641">SUMPRODUCT(("TFRLFELCEXT"=[1]OUT_TransportEnergyCons!$A$3:$A$1000)*1,("Var_Fin"=[1]OUT_TransportEnergyCons!$B$3:$B$1000)*1,ISNUMBER(SEARCH("ELC",[1]OUT_TransportEnergyCons!$C$3:$C$1000))*1,[1]OUT_TransportEnergyCons!F$3:F$1000)</f>
        <v>1.7463268561281742</v>
      </c>
      <c r="I1641" s="1" cm="1">
        <f t="array" ref="I1641">SUMPRODUCT(("TFRLFELCEXT"=[1]OUT_TransportEnergyCons!$A$3:$A$1000)*1,("Var_Fin"=[1]OUT_TransportEnergyCons!$B$3:$B$1000)*1,ISNUMBER(SEARCH("ELC",[1]OUT_TransportEnergyCons!$C$3:$C$1000))*1,[1]OUT_TransportEnergyCons!G$3:G$1000)</f>
        <v>1.8943564103876482</v>
      </c>
      <c r="J1641" s="1" cm="1">
        <f t="array" ref="J1641">SUMPRODUCT(("TFRLFELCEXT"=[1]OUT_TransportEnergyCons!$A$3:$A$1000)*1,("Var_Fin"=[1]OUT_TransportEnergyCons!$B$3:$B$1000)*1,ISNUMBER(SEARCH("ELC",[1]OUT_TransportEnergyCons!$C$3:$C$1000))*1,[1]OUT_TransportEnergyCons!H$3:H$1000)</f>
        <v>2.0281871777242442</v>
      </c>
      <c r="K1641" s="1" cm="1">
        <f t="array" ref="K1641">SUMPRODUCT(("TFRLFELCEXT"=[1]OUT_TransportEnergyCons!$A$3:$A$1000)*1,("Var_Fin"=[1]OUT_TransportEnergyCons!$B$3:$B$1000)*1,ISNUMBER(SEARCH("ELC",[1]OUT_TransportEnergyCons!$C$3:$C$1000))*1,[1]OUT_TransportEnergyCons!I$3:I$1000)</f>
        <v>2.1804952244557709</v>
      </c>
    </row>
    <row r="1642" spans="2:11" x14ac:dyDescent="0.35">
      <c r="B1642" t="str">
        <f t="shared" si="1071"/>
        <v>SPS1</v>
      </c>
      <c r="C1642" t="str">
        <f t="shared" si="1072"/>
        <v>CH</v>
      </c>
      <c r="D1642" t="s">
        <v>1656</v>
      </c>
      <c r="E1642" t="str">
        <f t="shared" si="1074"/>
        <v>PJ/yr.</v>
      </c>
      <c r="F1642" s="1" cm="1">
        <f t="array" ref="F1642">SUMPRODUCT(("TPSHPELCEXT"=[1]OUT_TransportEnergyCons!$A$3:$A$1000)*1,("Var_Fin"=[1]OUT_TransportEnergyCons!$B$3:$B$1000)*1,ISNUMBER(SEARCH("ELC",[1]OUT_TransportEnergyCons!$C$3:$C$1000))*1,[1]OUT_TransportEnergyCons!D$3:D$1000)</f>
        <v>0</v>
      </c>
      <c r="G1642" s="1" cm="1">
        <f t="array" ref="G1642">SUMPRODUCT(("TPSHPELCEXT"=[1]OUT_TransportEnergyCons!$A$3:$A$1000)*1,("Var_Fin"=[1]OUT_TransportEnergyCons!$B$3:$B$1000)*1,ISNUMBER(SEARCH("ELC",[1]OUT_TransportEnergyCons!$C$3:$C$1000))*1,[1]OUT_TransportEnergyCons!E$3:E$1000)</f>
        <v>3.3107797865091611E-6</v>
      </c>
      <c r="H1642" s="1" cm="1">
        <f t="array" ref="H1642">SUMPRODUCT(("TPSHPELCEXT"=[1]OUT_TransportEnergyCons!$A$3:$A$1000)*1,("Var_Fin"=[1]OUT_TransportEnergyCons!$B$3:$B$1000)*1,ISNUMBER(SEARCH("ELC",[1]OUT_TransportEnergyCons!$C$3:$C$1000))*1,[1]OUT_TransportEnergyCons!F$3:F$1000)</f>
        <v>3.9313255609736961E-6</v>
      </c>
      <c r="I1642" s="1" cm="1">
        <f t="array" ref="I1642">SUMPRODUCT(("TPSHPELCEXT"=[1]OUT_TransportEnergyCons!$A$3:$A$1000)*1,("Var_Fin"=[1]OUT_TransportEnergyCons!$B$3:$B$1000)*1,ISNUMBER(SEARCH("ELC",[1]OUT_TransportEnergyCons!$C$3:$C$1000))*1,[1]OUT_TransportEnergyCons!G$3:G$1000)</f>
        <v>5.310583256062959E-6</v>
      </c>
      <c r="J1642" s="1" cm="1">
        <f t="array" ref="J1642">SUMPRODUCT(("TPSHPELCEXT"=[1]OUT_TransportEnergyCons!$A$3:$A$1000)*1,("Var_Fin"=[1]OUT_TransportEnergyCons!$B$3:$B$1000)*1,ISNUMBER(SEARCH("ELC",[1]OUT_TransportEnergyCons!$C$3:$C$1000))*1,[1]OUT_TransportEnergyCons!H$3:H$1000)</f>
        <v>4.3599761518452681E-5</v>
      </c>
      <c r="K1642" s="1" cm="1">
        <f t="array" ref="K1642">SUMPRODUCT(("TPSHPELCEXT"=[1]OUT_TransportEnergyCons!$A$3:$A$1000)*1,("Var_Fin"=[1]OUT_TransportEnergyCons!$B$3:$B$1000)*1,ISNUMBER(SEARCH("ELC",[1]OUT_TransportEnergyCons!$C$3:$C$1000))*1,[1]OUT_TransportEnergyCons!I$3:I$1000)</f>
        <v>1.50917501945343E-5</v>
      </c>
    </row>
    <row r="1643" spans="2:11" x14ac:dyDescent="0.35">
      <c r="B1643" t="str">
        <f t="shared" si="1071"/>
        <v>SPS1</v>
      </c>
      <c r="C1643" t="str">
        <f t="shared" si="1072"/>
        <v>CH</v>
      </c>
      <c r="D1643" t="s">
        <v>1657</v>
      </c>
      <c r="E1643" t="s">
        <v>8</v>
      </c>
      <c r="F1643" s="1">
        <f>SUM(F1644:F1646)</f>
        <v>0</v>
      </c>
      <c r="G1643" s="1">
        <f t="shared" ref="G1643:K1643" si="1075">SUM(G1644:G1646)</f>
        <v>0</v>
      </c>
      <c r="H1643" s="1">
        <f t="shared" si="1075"/>
        <v>0</v>
      </c>
      <c r="I1643" s="1">
        <f t="shared" si="1075"/>
        <v>0</v>
      </c>
      <c r="J1643" s="1">
        <f t="shared" si="1075"/>
        <v>1.2503308320082316E-4</v>
      </c>
      <c r="K1643" s="1">
        <f t="shared" si="1075"/>
        <v>9.9065166513022393E-5</v>
      </c>
    </row>
    <row r="1644" spans="2:11" x14ac:dyDescent="0.35">
      <c r="B1644" t="str">
        <f t="shared" si="1071"/>
        <v>SPS1</v>
      </c>
      <c r="C1644" t="str">
        <f t="shared" si="1072"/>
        <v>CH</v>
      </c>
      <c r="D1644" t="s">
        <v>1658</v>
      </c>
      <c r="E1644" t="str">
        <f t="shared" ref="E1644:E1646" si="1076">E1643</f>
        <v>PJ/yr.</v>
      </c>
      <c r="F1644" s="1" cm="1">
        <f t="array" ref="F1644">SUMPRODUCT(("TPRLPH2OFCL"=[1]OUT_TransportEnergyCons!$A$3:$A$1000)*1,("Var_Fin"=[1]OUT_TransportEnergyCons!$B$3:$B$1000)*1,ISNUMBER(SEARCH("h2",[1]OUT_TransportEnergyCons!$C$3:$C$1000))*1,[1]OUT_TransportEnergyCons!D$3:D$1000)</f>
        <v>0</v>
      </c>
      <c r="G1644" s="1" cm="1">
        <f t="array" ref="G1644">SUMPRODUCT(("TPRLPH2OFCL"=[1]OUT_TransportEnergyCons!$A$3:$A$1000)*1,("Var_Fin"=[1]OUT_TransportEnergyCons!$B$3:$B$1000)*1,ISNUMBER(SEARCH("h2",[1]OUT_TransportEnergyCons!$C$3:$C$1000))*1,[1]OUT_TransportEnergyCons!E$3:E$1000)</f>
        <v>0</v>
      </c>
      <c r="H1644" s="1" cm="1">
        <f t="array" ref="H1644">SUMPRODUCT(("TPRLPH2OFCL"=[1]OUT_TransportEnergyCons!$A$3:$A$1000)*1,("Var_Fin"=[1]OUT_TransportEnergyCons!$B$3:$B$1000)*1,ISNUMBER(SEARCH("h2",[1]OUT_TransportEnergyCons!$C$3:$C$1000))*1,[1]OUT_TransportEnergyCons!F$3:F$1000)</f>
        <v>0</v>
      </c>
      <c r="I1644" s="1" cm="1">
        <f t="array" ref="I1644">SUMPRODUCT(("TPRLPH2OFCL"=[1]OUT_TransportEnergyCons!$A$3:$A$1000)*1,("Var_Fin"=[1]OUT_TransportEnergyCons!$B$3:$B$1000)*1,ISNUMBER(SEARCH("h2",[1]OUT_TransportEnergyCons!$C$3:$C$1000))*1,[1]OUT_TransportEnergyCons!G$3:G$1000)</f>
        <v>0</v>
      </c>
      <c r="J1644" s="1" cm="1">
        <f t="array" ref="J1644">SUMPRODUCT(("TPRLPH2OFCL"=[1]OUT_TransportEnergyCons!$A$3:$A$1000)*1,("Var_Fin"=[1]OUT_TransportEnergyCons!$B$3:$B$1000)*1,ISNUMBER(SEARCH("h2",[1]OUT_TransportEnergyCons!$C$3:$C$1000))*1,[1]OUT_TransportEnergyCons!H$3:H$1000)</f>
        <v>8.0262904581044955E-5</v>
      </c>
      <c r="K1644" s="1" cm="1">
        <f t="array" ref="K1644">SUMPRODUCT(("TPRLPH2OFCL"=[1]OUT_TransportEnergyCons!$A$3:$A$1000)*1,("Var_Fin"=[1]OUT_TransportEnergyCons!$B$3:$B$1000)*1,ISNUMBER(SEARCH("h2",[1]OUT_TransportEnergyCons!$C$3:$C$1000))*1,[1]OUT_TransportEnergyCons!I$3:I$1000)</f>
        <v>8.7743749073407933E-5</v>
      </c>
    </row>
    <row r="1645" spans="2:11" x14ac:dyDescent="0.35">
      <c r="B1645" t="str">
        <f t="shared" si="1071"/>
        <v>SPS1</v>
      </c>
      <c r="C1645" t="str">
        <f t="shared" si="1072"/>
        <v>CH</v>
      </c>
      <c r="D1645" t="s">
        <v>1659</v>
      </c>
      <c r="E1645" t="str">
        <f t="shared" si="1076"/>
        <v>PJ/yr.</v>
      </c>
      <c r="F1645" s="1" cm="1">
        <f t="array" ref="F1645">SUMPRODUCT(("TFRLFH2OFCL"=[1]OUT_TransportEnergyCons!$A$3:$A$1000)*1,("Var_Fin"=[1]OUT_TransportEnergyCons!$B$3:$B$1000)*1,ISNUMBER(SEARCH("h2",[1]OUT_TransportEnergyCons!$C$3:$C$1000))*1,[1]OUT_TransportEnergyCons!D$3:D$1000)</f>
        <v>0</v>
      </c>
      <c r="G1645" s="1" cm="1">
        <f t="array" ref="G1645">SUMPRODUCT(("TFRLFH2OFCL"=[1]OUT_TransportEnergyCons!$A$3:$A$1000)*1,("Var_Fin"=[1]OUT_TransportEnergyCons!$B$3:$B$1000)*1,ISNUMBER(SEARCH("h2",[1]OUT_TransportEnergyCons!$C$3:$C$1000))*1,[1]OUT_TransportEnergyCons!E$3:E$1000)</f>
        <v>0</v>
      </c>
      <c r="H1645" s="1" cm="1">
        <f t="array" ref="H1645">SUMPRODUCT(("TFRLFH2OFCL"=[1]OUT_TransportEnergyCons!$A$3:$A$1000)*1,("Var_Fin"=[1]OUT_TransportEnergyCons!$B$3:$B$1000)*1,ISNUMBER(SEARCH("h2",[1]OUT_TransportEnergyCons!$C$3:$C$1000))*1,[1]OUT_TransportEnergyCons!F$3:F$1000)</f>
        <v>0</v>
      </c>
      <c r="I1645" s="1" cm="1">
        <f t="array" ref="I1645">SUMPRODUCT(("TFRLFH2OFCL"=[1]OUT_TransportEnergyCons!$A$3:$A$1000)*1,("Var_Fin"=[1]OUT_TransportEnergyCons!$B$3:$B$1000)*1,ISNUMBER(SEARCH("h2",[1]OUT_TransportEnergyCons!$C$3:$C$1000))*1,[1]OUT_TransportEnergyCons!G$3:G$1000)</f>
        <v>0</v>
      </c>
      <c r="J1645" s="1" cm="1">
        <f t="array" ref="J1645">SUMPRODUCT(("TFRLFH2OFCL"=[1]OUT_TransportEnergyCons!$A$3:$A$1000)*1,("Var_Fin"=[1]OUT_TransportEnergyCons!$B$3:$B$1000)*1,ISNUMBER(SEARCH("h2",[1]OUT_TransportEnergyCons!$C$3:$C$1000))*1,[1]OUT_TransportEnergyCons!H$3:H$1000)</f>
        <v>0</v>
      </c>
      <c r="K1645" s="1" cm="1">
        <f t="array" ref="K1645">SUMPRODUCT(("TFRLFH2OFCL"=[1]OUT_TransportEnergyCons!$A$3:$A$1000)*1,("Var_Fin"=[1]OUT_TransportEnergyCons!$B$3:$B$1000)*1,ISNUMBER(SEARCH("h2",[1]OUT_TransportEnergyCons!$C$3:$C$1000))*1,[1]OUT_TransportEnergyCons!I$3:I$1000)</f>
        <v>0</v>
      </c>
    </row>
    <row r="1646" spans="2:11" x14ac:dyDescent="0.35">
      <c r="B1646" t="str">
        <f t="shared" si="1071"/>
        <v>SPS1</v>
      </c>
      <c r="C1646" t="str">
        <f t="shared" si="1072"/>
        <v>CH</v>
      </c>
      <c r="D1646" t="s">
        <v>1660</v>
      </c>
      <c r="E1646" t="str">
        <f t="shared" si="1076"/>
        <v>PJ/yr.</v>
      </c>
      <c r="F1646" s="1" cm="1">
        <f t="array" ref="F1646">SUMPRODUCT(("TPSHPH2OEXT"=[1]OUT_TransportEnergyCons!$A$3:$A$1000)*1,("Var_Fin"=[1]OUT_TransportEnergyCons!$B$3:$B$1000)*1,ISNUMBER(SEARCH("h2",[1]OUT_TransportEnergyCons!$C$3:$C$1000))*1,[1]OUT_TransportEnergyCons!D$3:D$1000)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SUMPRODUCT(("TPSHPH2OEXT"=[1]OUT_TransportEnergyCons!$A$3:$A$1000)*1,("Var_Fin"=[1]OUT_TransportEnergyCons!$B$3:$B$1000)*1,ISNUMBER(SEARCH("h2",[1]OUT_TransportEnergyCons!$C$3:$C$1000))*1,[1]OUT_TransportEnergyCons!E$3:E$1000)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SUMPRODUCT(("TPSHPH2OEXT"=[1]OUT_TransportEnergyCons!$A$3:$A$1000)*1,("Var_Fin"=[1]OUT_TransportEnergyCons!$B$3:$B$1000)*1,ISNUMBER(SEARCH("h2",[1]OUT_TransportEnergyCons!$C$3:$C$1000))*1,[1]OUT_TransportEnergyCons!F$3:F$1000)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SUMPRODUCT(("TPSHPH2OEXT"=[1]OUT_TransportEnergyCons!$A$3:$A$1000)*1,("Var_Fin"=[1]OUT_TransportEnergyCons!$B$3:$B$1000)*1,ISNUMBER(SEARCH("h2",[1]OUT_TransportEnergyCons!$C$3:$C$1000))*1,[1]OUT_TransportEnergyCons!G$3:G$1000)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SUMPRODUCT(("TPSHPH2OEXT"=[1]OUT_TransportEnergyCons!$A$3:$A$1000)*1,("Var_Fin"=[1]OUT_TransportEnergyCons!$B$3:$B$1000)*1,ISNUMBER(SEARCH("h2",[1]OUT_TransportEnergyCons!$C$3:$C$1000))*1,[1]OUT_TransportEnergyCons!H$3:H$1000)</f>
        <v>4.4770178619778202E-5</v>
      </c>
      <c r="K1646" s="1" cm="1">
        <f t="array" ref="K1646">SUMPRODUCT(("TPSHPH2OEXT"=[1]OUT_TransportEnergyCons!$A$3:$A$1000)*1,("Var_Fin"=[1]OUT_TransportEnergyCons!$B$3:$B$1000)*1,ISNUMBER(SEARCH("h2",[1]OUT_TransportEnergyCons!$C$3:$C$1000))*1,[1]OUT_TransportEnergyCons!I$3:I$1000)</f>
        <v>1.1321417439614461E-5</v>
      </c>
    </row>
    <row r="1647" spans="2:11" x14ac:dyDescent="0.35">
      <c r="B1647" t="str">
        <f t="shared" si="1071"/>
        <v>SPS1</v>
      </c>
      <c r="C1647" t="str">
        <f t="shared" si="1072"/>
        <v>CH</v>
      </c>
      <c r="D1647" t="s">
        <v>1661</v>
      </c>
      <c r="E1647" t="str">
        <f>E1646</f>
        <v>PJ/yr.</v>
      </c>
      <c r="F1647" s="1">
        <f>F1652</f>
        <v>1.759807763728358</v>
      </c>
      <c r="G1647" s="1">
        <f t="shared" ref="G1647:K1647" si="1077">G1652</f>
        <v>0.84567415751497377</v>
      </c>
      <c r="H1647" s="1">
        <f t="shared" si="1077"/>
        <v>1.2316228580591676E-4</v>
      </c>
      <c r="I1647" s="1">
        <f t="shared" si="1077"/>
        <v>1.0449453482863394E-4</v>
      </c>
      <c r="J1647" s="1">
        <f t="shared" si="1077"/>
        <v>1.181388081051627E-4</v>
      </c>
      <c r="K1647" s="1">
        <f t="shared" si="1077"/>
        <v>0</v>
      </c>
    </row>
    <row r="1648" spans="2:11" x14ac:dyDescent="0.35">
      <c r="B1648" t="str">
        <f t="shared" si="1071"/>
        <v>SPS1</v>
      </c>
      <c r="C1648" t="str">
        <f t="shared" si="1072"/>
        <v>CH</v>
      </c>
      <c r="D1648" t="s">
        <v>1662</v>
      </c>
      <c r="E1648" t="str">
        <f t="shared" ref="E1648:E1660" si="1078">E1647</f>
        <v>PJ/yr.</v>
      </c>
      <c r="F1648" s="1">
        <f>F1647-F1649</f>
        <v>1.6634746711046249</v>
      </c>
      <c r="G1648" s="1">
        <f t="shared" ref="G1648:K1648" si="1079">G1647-G1649</f>
        <v>0.79937989366849671</v>
      </c>
      <c r="H1648" s="1">
        <f t="shared" si="1079"/>
        <v>1.1642031885005435E-4</v>
      </c>
      <c r="I1648" s="1">
        <f t="shared" si="1079"/>
        <v>9.8771376356215337E-5</v>
      </c>
      <c r="J1648" s="1">
        <f t="shared" si="1079"/>
        <v>7.288264952272659E-5</v>
      </c>
      <c r="K1648" s="1">
        <f t="shared" si="1079"/>
        <v>0</v>
      </c>
    </row>
    <row r="1649" spans="2:11" x14ac:dyDescent="0.35">
      <c r="B1649" t="str">
        <f t="shared" si="1071"/>
        <v>SPS1</v>
      </c>
      <c r="C1649" t="str">
        <f t="shared" si="1072"/>
        <v>CH</v>
      </c>
      <c r="D1649" t="s">
        <v>1663</v>
      </c>
      <c r="E1649" t="str">
        <f t="shared" si="1078"/>
        <v>PJ/yr.</v>
      </c>
      <c r="F1649" s="1">
        <f>SUM(F1650:F1651)</f>
        <v>9.6333092623733102E-2</v>
      </c>
      <c r="G1649" s="1">
        <f t="shared" ref="G1649:K1649" si="1080">SUM(G1650:G1651)</f>
        <v>4.6294263846477106E-2</v>
      </c>
      <c r="H1649" s="1">
        <f t="shared" si="1080"/>
        <v>6.7419669558624029E-6</v>
      </c>
      <c r="I1649" s="1">
        <f t="shared" si="1080"/>
        <v>5.7231584724186026E-6</v>
      </c>
      <c r="J1649" s="1">
        <f t="shared" si="1080"/>
        <v>4.5256158582436118E-5</v>
      </c>
      <c r="K1649" s="1">
        <f t="shared" si="1080"/>
        <v>0</v>
      </c>
    </row>
    <row r="1650" spans="2:11" x14ac:dyDescent="0.35">
      <c r="B1650" t="str">
        <f t="shared" si="1071"/>
        <v>SPS1</v>
      </c>
      <c r="C1650" t="str">
        <f t="shared" si="1072"/>
        <v>CH</v>
      </c>
      <c r="D1650" t="s">
        <v>1664</v>
      </c>
      <c r="E1650" t="str">
        <f t="shared" si="1078"/>
        <v>PJ/yr.</v>
      </c>
      <c r="F1650" s="1">
        <f>[1]Transport!B$25/SUM([1]Transport!B$21,[1]Transport!B$25)*F1647*(F$34+F$598)/(F$34+F$598+F$37)</f>
        <v>9.6333092623733102E-2</v>
      </c>
      <c r="G1650" s="1">
        <f>[1]Transport!C$25/SUM([1]Transport!C$21,[1]Transport!C$25)*G1647*(G$34+G$598)/(G$34+G$598+G$37)</f>
        <v>4.6294263846477106E-2</v>
      </c>
      <c r="H1650" s="1">
        <f>[1]Transport!D$25/SUM([1]Transport!D$21,[1]Transport!D$25)*H1647*(H$34+H$598)/(H$34+H$598+H$37)</f>
        <v>6.7419669558624029E-6</v>
      </c>
      <c r="I1650" s="1">
        <f>[1]Transport!E$25/SUM([1]Transport!E$21,[1]Transport!E$25)*I1647*(I$34+I$598)/(I$34+I$598+I$37)</f>
        <v>5.7231584724186026E-6</v>
      </c>
      <c r="J1650" s="1">
        <f>[1]Transport!F$25/SUM([1]Transport!F$21,[1]Transport!F$25)*J1647*(J$34+J$598)/(J$34+J$598+J$37)</f>
        <v>4.4229956744913687E-5</v>
      </c>
      <c r="K1650" s="1">
        <f>[1]Transport!G$25/SUM([1]Transport!G$21,[1]Transport!G$25)*K1647*(K$34+K$598)/(K$34+K$598+K$37)</f>
        <v>0</v>
      </c>
    </row>
    <row r="1651" spans="2:11" x14ac:dyDescent="0.35">
      <c r="B1651" t="str">
        <f t="shared" si="1071"/>
        <v>SPS1</v>
      </c>
      <c r="C1651" t="str">
        <f t="shared" si="1072"/>
        <v>CH</v>
      </c>
      <c r="D1651" t="s">
        <v>1665</v>
      </c>
      <c r="E1651" t="str">
        <f t="shared" si="1078"/>
        <v>PJ/yr.</v>
      </c>
      <c r="F1651" s="1">
        <f>(F$37+F$717)/([1]Transport!B$21+[1]Transport!B$25)*F1647</f>
        <v>0</v>
      </c>
      <c r="G1651" s="1">
        <f>(G$37+G$717)/([1]Transport!C$21+[1]Transport!C$25)*G1647</f>
        <v>0</v>
      </c>
      <c r="H1651" s="1">
        <f>(H$37+H$717)/([1]Transport!D$21+[1]Transport!D$25)*H1647</f>
        <v>0</v>
      </c>
      <c r="I1651" s="1">
        <f>(I$37+I$717)/([1]Transport!E$21+[1]Transport!E$25)*I1647</f>
        <v>0</v>
      </c>
      <c r="J1651" s="1">
        <f>(J$37+J$717)/([1]Transport!F$21+[1]Transport!F$25)*J1647</f>
        <v>1.0262018375224307E-6</v>
      </c>
      <c r="K1651" s="1">
        <f>(K$37+K$717)/([1]Transport!G$21+[1]Transport!G$25)*K1647</f>
        <v>0</v>
      </c>
    </row>
    <row r="1652" spans="2:11" x14ac:dyDescent="0.35">
      <c r="B1652" t="str">
        <f t="shared" si="1071"/>
        <v>SPS1</v>
      </c>
      <c r="C1652" t="str">
        <f t="shared" si="1072"/>
        <v>CH</v>
      </c>
      <c r="D1652" t="s">
        <v>1666</v>
      </c>
      <c r="E1652" t="str">
        <f t="shared" si="1078"/>
        <v>PJ/yr.</v>
      </c>
      <c r="F1652" s="1" cm="1">
        <f t="array" ref="F1652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2" s="1" cm="1">
        <f t="array" ref="G1652">SUMPRODUCT(("TPSHPGSLEXT"=[1]OUT_TransportEnergyCons!$A$3:$A$1000)*1,("Var_Fin"=[1]OUT_TransportEnergyCons!$B$3:$B$1000)*1,ISNUMBER(SEARCH("GSL",[1]OUT_TransportEnergyCons!$C$3:$C$1000))*1,[1]OUT_TransportEnergyCons!E$3:E$1000)</f>
        <v>0.84567415751497377</v>
      </c>
      <c r="H1652" s="1" cm="1">
        <f t="array" ref="H1652">SUMPRODUCT(("TPSHPGSLEXT"=[1]OUT_TransportEnergyCons!$A$3:$A$1000)*1,("Var_Fin"=[1]OUT_TransportEnergyCons!$B$3:$B$1000)*1,ISNUMBER(SEARCH("GSL",[1]OUT_TransportEnergyCons!$C$3:$C$1000))*1,[1]OUT_TransportEnergyCons!F$3:F$1000)</f>
        <v>1.2316228580591676E-4</v>
      </c>
      <c r="I1652" s="1" cm="1">
        <f t="array" ref="I1652">SUMPRODUCT(("TPSHPGSLEXT"=[1]OUT_TransportEnergyCons!$A$3:$A$1000)*1,("Var_Fin"=[1]OUT_TransportEnergyCons!$B$3:$B$1000)*1,ISNUMBER(SEARCH("GSL",[1]OUT_TransportEnergyCons!$C$3:$C$1000))*1,[1]OUT_TransportEnergyCons!G$3:G$1000)</f>
        <v>1.0449453482863394E-4</v>
      </c>
      <c r="J1652" s="1" cm="1">
        <f t="array" ref="J1652">SUMPRODUCT(("TPSHPGSLEXT"=[1]OUT_TransportEnergyCons!$A$3:$A$1000)*1,("Var_Fin"=[1]OUT_TransportEnergyCons!$B$3:$B$1000)*1,ISNUMBER(SEARCH("GSL",[1]OUT_TransportEnergyCons!$C$3:$C$1000))*1,[1]OUT_TransportEnergyCons!H$3:H$1000)</f>
        <v>1.181388081051627E-4</v>
      </c>
      <c r="K1652" s="1" cm="1">
        <f t="array" ref="K1652">SUMPRODUCT(("TPSHPGSLEXT"=[1]OUT_TransportEnergyCons!$A$3:$A$1000)*1,("Var_Fin"=[1]OUT_TransportEnergyCons!$B$3:$B$1000)*1,ISNUMBER(SEARCH("GSL",[1]OUT_TransportEnergyCons!$C$3:$C$1000))*1,[1]OUT_TransportEnergyCons!I$3:I$1000)</f>
        <v>0</v>
      </c>
    </row>
    <row r="1653" spans="2:11" x14ac:dyDescent="0.35">
      <c r="B1653" t="str">
        <f t="shared" si="1071"/>
        <v>SPS1</v>
      </c>
      <c r="C1653" t="str">
        <f t="shared" si="1072"/>
        <v>CH</v>
      </c>
      <c r="D1653" t="s">
        <v>1667</v>
      </c>
      <c r="E1653" t="str">
        <f t="shared" si="1078"/>
        <v>PJ/yr.</v>
      </c>
      <c r="F1653" s="1">
        <f>SUM(F1658:F1660)</f>
        <v>17.776486724611896</v>
      </c>
      <c r="G1653" s="1">
        <f t="shared" ref="G1653:K1653" si="1081">SUM(G1658:G1660)</f>
        <v>17.612561453006709</v>
      </c>
      <c r="H1653" s="1">
        <f t="shared" si="1081"/>
        <v>17.22714344912151</v>
      </c>
      <c r="I1653" s="1">
        <f t="shared" si="1081"/>
        <v>16.34344392715537</v>
      </c>
      <c r="J1653" s="1">
        <f t="shared" si="1081"/>
        <v>16.343428590941549</v>
      </c>
      <c r="K1653" s="1">
        <f t="shared" si="1081"/>
        <v>16.342817609778539</v>
      </c>
    </row>
    <row r="1654" spans="2:11" x14ac:dyDescent="0.35">
      <c r="B1654" t="str">
        <f t="shared" si="1071"/>
        <v>SPS1</v>
      </c>
      <c r="C1654" t="str">
        <f t="shared" si="1072"/>
        <v>CH</v>
      </c>
      <c r="D1654" t="s">
        <v>1668</v>
      </c>
      <c r="E1654" t="str">
        <f t="shared" si="1078"/>
        <v>PJ/yr.</v>
      </c>
      <c r="F1654" s="1">
        <f>F1653-F1655</f>
        <v>17.334762608715774</v>
      </c>
      <c r="G1654" s="1">
        <f t="shared" ref="G1654:K1654" si="1082">G1653-G1655</f>
        <v>17.153565387483301</v>
      </c>
      <c r="H1654" s="1">
        <f t="shared" si="1082"/>
        <v>16.454061805630527</v>
      </c>
      <c r="I1654" s="1">
        <f t="shared" si="1082"/>
        <v>15.459114792343829</v>
      </c>
      <c r="J1654" s="1">
        <f t="shared" si="1082"/>
        <v>4.8635953878480418</v>
      </c>
      <c r="K1654" s="1">
        <f t="shared" si="1082"/>
        <v>-48.322669261915308</v>
      </c>
    </row>
    <row r="1655" spans="2:11" x14ac:dyDescent="0.35">
      <c r="B1655" t="str">
        <f t="shared" si="1071"/>
        <v>SPS1</v>
      </c>
      <c r="C1655" t="str">
        <f t="shared" si="1072"/>
        <v>CH</v>
      </c>
      <c r="D1655" t="s">
        <v>1669</v>
      </c>
      <c r="E1655" t="str">
        <f t="shared" si="1078"/>
        <v>PJ/yr.</v>
      </c>
      <c r="F1655" s="1">
        <f>SUM(F1656:F1657)</f>
        <v>0.44172411589612198</v>
      </c>
      <c r="G1655" s="1">
        <f t="shared" ref="G1655:K1655" si="1083">SUM(G1656:G1657)</f>
        <v>0.45899606552340716</v>
      </c>
      <c r="H1655" s="1">
        <f t="shared" si="1083"/>
        <v>0.77308164349098418</v>
      </c>
      <c r="I1655" s="1">
        <f t="shared" si="1083"/>
        <v>0.88432913481153985</v>
      </c>
      <c r="J1655" s="1">
        <f t="shared" si="1083"/>
        <v>11.479833203093508</v>
      </c>
      <c r="K1655" s="1">
        <f t="shared" si="1083"/>
        <v>64.665486871693844</v>
      </c>
    </row>
    <row r="1656" spans="2:11" x14ac:dyDescent="0.35">
      <c r="B1656" t="str">
        <f t="shared" si="1071"/>
        <v>SPS1</v>
      </c>
      <c r="C1656" t="str">
        <f t="shared" si="1072"/>
        <v>CH</v>
      </c>
      <c r="D1656" t="s">
        <v>1670</v>
      </c>
      <c r="E1656" t="str">
        <f t="shared" si="1078"/>
        <v>PJ/yr.</v>
      </c>
      <c r="F1656" s="1">
        <f>[1]Transport!B$26/SUM([1]Transport!B$22,[1]Transport!B$26)*F1653*(F$33+F$580)/(F$33+F$580+F$36)</f>
        <v>0.44172411589612198</v>
      </c>
      <c r="G1656" s="1">
        <f>[1]Transport!C$26/SUM([1]Transport!C$22,[1]Transport!C$26)*G1653*(G$33+G$580)/(G$33+G$580+G$36)</f>
        <v>0.45899606552340716</v>
      </c>
      <c r="H1656" s="1">
        <f>[1]Transport!D$26/SUM([1]Transport!D$22,[1]Transport!D$26)*H1653*(H$33+H$580)/(H$33+H$580+H$36)</f>
        <v>0.77308164349098418</v>
      </c>
      <c r="I1656" s="1">
        <f>[1]Transport!E$26/SUM([1]Transport!E$22,[1]Transport!E$26)*I1653*(I$33+I$580)/(I$33+I$580+I$36)</f>
        <v>0.88432913481153985</v>
      </c>
      <c r="J1656" s="1">
        <f>[1]Transport!F$26/SUM([1]Transport!F$22,[1]Transport!F$26)*J1653*(J$33+J$580)/(J$33+J$580+J$36)</f>
        <v>0.4568987389470564</v>
      </c>
      <c r="K1656" s="1">
        <f>[1]Transport!G$26/SUM([1]Transport!G$22,[1]Transport!G$26)*K1653*(K$33+K$580)/(K$33+K$580+K$36)</f>
        <v>5.5851224594976729</v>
      </c>
    </row>
    <row r="1657" spans="2:11" x14ac:dyDescent="0.35">
      <c r="B1657" t="str">
        <f t="shared" si="1071"/>
        <v>SPS1</v>
      </c>
      <c r="C1657" t="str">
        <f t="shared" si="1072"/>
        <v>CH</v>
      </c>
      <c r="D1657" t="s">
        <v>1671</v>
      </c>
      <c r="E1657" t="str">
        <f t="shared" si="1078"/>
        <v>PJ/yr.</v>
      </c>
      <c r="F1657" s="1">
        <f>(F$36+F$716)/([1]Transport!B$22+[1]Transport!B$26)*F1653</f>
        <v>0</v>
      </c>
      <c r="G1657" s="1">
        <f>(G$36+G$716)/([1]Transport!C$22+[1]Transport!C$26)*G1653</f>
        <v>0</v>
      </c>
      <c r="H1657" s="1">
        <f>(H$36+H$716)/([1]Transport!D$22+[1]Transport!D$26)*H1653</f>
        <v>0</v>
      </c>
      <c r="I1657" s="1">
        <f>(I$36+I$716)/([1]Transport!E$22+[1]Transport!E$26)*I1653</f>
        <v>0</v>
      </c>
      <c r="J1657" s="1">
        <f>(J$36+J$716)/([1]Transport!F$22+[1]Transport!F$26)*J1653</f>
        <v>11.02293446414645</v>
      </c>
      <c r="K1657" s="1">
        <f>(K$36+K$716)/([1]Transport!G$22+[1]Transport!G$26)*K1653</f>
        <v>59.080364412196175</v>
      </c>
    </row>
    <row r="1658" spans="2:11" x14ac:dyDescent="0.35">
      <c r="B1658" t="str">
        <f t="shared" si="1071"/>
        <v>SPS1</v>
      </c>
      <c r="C1658" t="str">
        <f t="shared" si="1072"/>
        <v>CH</v>
      </c>
      <c r="D1658" t="s">
        <v>1672</v>
      </c>
      <c r="E1658" t="str">
        <f t="shared" si="1078"/>
        <v>PJ/yr.</v>
      </c>
      <c r="F1658" s="1" cm="1">
        <f t="array" ref="F1658">SUMPRODUCT(("TPRLPDSLEXT"=[1]OUT_TransportEnergyCons!$A$3:$A$1000)*1,("Var_Fin"=[1]OUT_TransportEnergyCons!$B$3:$B$1000)*1,ISNUMBER(SEARCH("DSL",[1]OUT_TransportEnergyCons!$C$3:$C$1000))*1,[1]OUT_TransportEnergyCons!D$3:D$1000)</f>
        <v>0</v>
      </c>
      <c r="G1658" s="1" cm="1">
        <f t="array" ref="G1658">SUMPRODUCT(("TPRLPDSLEXT"=[1]OUT_TransportEnergyCons!$A$3:$A$1000)*1,("Var_Fin"=[1]OUT_TransportEnergyCons!$B$3:$B$1000)*1,ISNUMBER(SEARCH("DSL",[1]OUT_TransportEnergyCons!$C$3:$C$1000))*1,[1]OUT_TransportEnergyCons!E$3:E$1000)</f>
        <v>0</v>
      </c>
      <c r="H1658" s="1" cm="1">
        <f t="array" ref="H1658">SUMPRODUCT(("TPRLPDSLEXT"=[1]OUT_TransportEnergyCons!$A$3:$A$1000)*1,("Var_Fin"=[1]OUT_TransportEnergyCons!$B$3:$B$1000)*1,ISNUMBER(SEARCH("DSL",[1]OUT_TransportEnergyCons!$C$3:$C$1000))*1,[1]OUT_TransportEnergyCons!F$3:F$1000)</f>
        <v>0</v>
      </c>
      <c r="I1658" s="1" cm="1">
        <f t="array" ref="I1658">SUMPRODUCT(("TPRLPDSLEXT"=[1]OUT_TransportEnergyCons!$A$3:$A$1000)*1,("Var_Fin"=[1]OUT_TransportEnergyCons!$B$3:$B$1000)*1,ISNUMBER(SEARCH("DSL",[1]OUT_TransportEnergyCons!$C$3:$C$1000))*1,[1]OUT_TransportEnergyCons!G$3:G$1000)</f>
        <v>0</v>
      </c>
      <c r="J1658" s="1" cm="1">
        <f t="array" ref="J1658">SUMPRODUCT(("TPRLPDSLEXT"=[1]OUT_TransportEnergyCons!$A$3:$A$1000)*1,("Var_Fin"=[1]OUT_TransportEnergyCons!$B$3:$B$1000)*1,ISNUMBER(SEARCH("DSL",[1]OUT_TransportEnergyCons!$C$3:$C$1000))*1,[1]OUT_TransportEnergyCons!H$3:H$1000)</f>
        <v>0</v>
      </c>
      <c r="K1658" s="1" cm="1">
        <f t="array" ref="K1658">SUMPRODUCT(("TPRLPDSLEXT"=[1]OUT_TransportEnergyCons!$A$3:$A$1000)*1,("Var_Fin"=[1]OUT_TransportEnergyCons!$B$3:$B$1000)*1,ISNUMBER(SEARCH("DSL",[1]OUT_TransportEnergyCons!$C$3:$C$1000))*1,[1]OUT_TransportEnergyCons!I$3:I$1000)</f>
        <v>0</v>
      </c>
    </row>
    <row r="1659" spans="2:11" x14ac:dyDescent="0.35">
      <c r="B1659" t="str">
        <f t="shared" si="1071"/>
        <v>SPS1</v>
      </c>
      <c r="C1659" t="str">
        <f t="shared" si="1072"/>
        <v>CH</v>
      </c>
      <c r="D1659" t="s">
        <v>1673</v>
      </c>
      <c r="E1659" t="str">
        <f t="shared" si="1078"/>
        <v>PJ/yr.</v>
      </c>
      <c r="F1659" s="1" cm="1">
        <f t="array" ref="F1659">SUMPRODUCT(("TFRLFDSLEXT"=[1]OUT_TransportEnergyCons!$A$3:$A$1000)*1,("Var_Fin"=[1]OUT_TransportEnergyCons!$B$3:$B$1000)*1,ISNUMBER(SEARCH("DSL",[1]OUT_TransportEnergyCons!$C$3:$C$1000))*1,[1]OUT_TransportEnergyCons!D$3:D$1000)</f>
        <v>0.39608891827718634</v>
      </c>
      <c r="G1659" s="1" cm="1">
        <f t="array" ref="G1659">SUMPRODUCT(("TFRLFDSLEXT"=[1]OUT_TransportEnergyCons!$A$3:$A$1000)*1,("Var_Fin"=[1]OUT_TransportEnergyCons!$B$3:$B$1000)*1,ISNUMBER(SEARCH("DSL",[1]OUT_TransportEnergyCons!$C$3:$C$1000))*1,[1]OUT_TransportEnergyCons!E$3:E$1000)</f>
        <v>0.27735365360586317</v>
      </c>
      <c r="H1659" s="1" cm="1">
        <f t="array" ref="H1659">SUMPRODUCT(("TFRLFDSLEXT"=[1]OUT_TransportEnergyCons!$A$3:$A$1000)*1,("Var_Fin"=[1]OUT_TransportEnergyCons!$B$3:$B$1000)*1,ISNUMBER(SEARCH("DSL",[1]OUT_TransportEnergyCons!$C$3:$C$1000))*1,[1]OUT_TransportEnergyCons!F$3:F$1000)</f>
        <v>3.4010506546682055E-4</v>
      </c>
      <c r="I1659" s="1" cm="1">
        <f t="array" ref="I1659">SUMPRODUCT(("TFRLFDSLEXT"=[1]OUT_TransportEnergyCons!$A$3:$A$1000)*1,("Var_Fin"=[1]OUT_TransportEnergyCons!$B$3:$B$1000)*1,ISNUMBER(SEARCH("DSL",[1]OUT_TransportEnergyCons!$C$3:$C$1000))*1,[1]OUT_TransportEnergyCons!G$3:G$1000)</f>
        <v>3.5467769800194495E-4</v>
      </c>
      <c r="J1659" s="1" cm="1">
        <f t="array" ref="J1659">SUMPRODUCT(("TFRLFDSLEXT"=[1]OUT_TransportEnergyCons!$A$3:$A$1000)*1,("Var_Fin"=[1]OUT_TransportEnergyCons!$B$3:$B$1000)*1,ISNUMBER(SEARCH("DSL",[1]OUT_TransportEnergyCons!$C$3:$C$1000))*1,[1]OUT_TransportEnergyCons!H$3:H$1000)</f>
        <v>3.5633279856713663E-4</v>
      </c>
      <c r="K1659" s="1" cm="1">
        <f t="array" ref="K1659">SUMPRODUCT(("TFRLFDSLEXT"=[1]OUT_TransportEnergyCons!$A$3:$A$1000)*1,("Var_Fin"=[1]OUT_TransportEnergyCons!$B$3:$B$1000)*1,ISNUMBER(SEARCH("DSL",[1]OUT_TransportEnergyCons!$C$3:$C$1000))*1,[1]OUT_TransportEnergyCons!I$3:I$1000)</f>
        <v>0</v>
      </c>
    </row>
    <row r="1660" spans="2:11" x14ac:dyDescent="0.35">
      <c r="B1660" t="str">
        <f t="shared" si="1071"/>
        <v>SPS1</v>
      </c>
      <c r="C1660" t="str">
        <f t="shared" si="1072"/>
        <v>CH</v>
      </c>
      <c r="D1660" t="s">
        <v>1674</v>
      </c>
      <c r="E1660" t="str">
        <f t="shared" si="1078"/>
        <v>PJ/yr.</v>
      </c>
      <c r="F1660" s="1" cm="1">
        <f t="array" ref="F1660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0" s="1" cm="1">
        <f t="array" ref="G1660">SUMPRODUCT(("TPSHPDSLEXT"=[1]OUT_TransportEnergyCons!$A$3:$A$1000)*1,("Var_Fin"=[1]OUT_TransportEnergyCons!$B$3:$B$1000)*1,ISNUMBER(SEARCH("DSL",[1]OUT_TransportEnergyCons!$C$3:$C$1000))*1,[1]OUT_TransportEnergyCons!E$3:E$1000)</f>
        <v>17.335207799400845</v>
      </c>
      <c r="H1660" s="1" cm="1">
        <f t="array" ref="H1660">SUMPRODUCT(("TPSHPDSLEXT"=[1]OUT_TransportEnergyCons!$A$3:$A$1000)*1,("Var_Fin"=[1]OUT_TransportEnergyCons!$B$3:$B$1000)*1,ISNUMBER(SEARCH("DSL",[1]OUT_TransportEnergyCons!$C$3:$C$1000))*1,[1]OUT_TransportEnergyCons!F$3:F$1000)</f>
        <v>17.226803344056044</v>
      </c>
      <c r="I1660" s="1" cm="1">
        <f t="array" ref="I1660">SUMPRODUCT(("TPSHPDSLEXT"=[1]OUT_TransportEnergyCons!$A$3:$A$1000)*1,("Var_Fin"=[1]OUT_TransportEnergyCons!$B$3:$B$1000)*1,ISNUMBER(SEARCH("DSL",[1]OUT_TransportEnergyCons!$C$3:$C$1000))*1,[1]OUT_TransportEnergyCons!G$3:G$1000)</f>
        <v>16.343089249457368</v>
      </c>
      <c r="J1660" s="1" cm="1">
        <f t="array" ref="J1660">SUMPRODUCT(("TPSHPDSLEXT"=[1]OUT_TransportEnergyCons!$A$3:$A$1000)*1,("Var_Fin"=[1]OUT_TransportEnergyCons!$B$3:$B$1000)*1,ISNUMBER(SEARCH("DSL",[1]OUT_TransportEnergyCons!$C$3:$C$1000))*1,[1]OUT_TransportEnergyCons!H$3:H$1000)</f>
        <v>16.343072258142982</v>
      </c>
      <c r="K1660" s="1" cm="1">
        <f t="array" ref="K1660">SUMPRODUCT(("TPSHPDSLEXT"=[1]OUT_TransportEnergyCons!$A$3:$A$1000)*1,("Var_Fin"=[1]OUT_TransportEnergyCons!$B$3:$B$1000)*1,ISNUMBER(SEARCH("DSL",[1]OUT_TransportEnergyCons!$C$3:$C$1000))*1,[1]OUT_TransportEnergyCons!I$3:I$1000)</f>
        <v>16.342817609778539</v>
      </c>
    </row>
    <row r="1661" spans="2:11" x14ac:dyDescent="0.35">
      <c r="B1661" s="2" t="str">
        <f>B1660</f>
        <v>SPS1</v>
      </c>
      <c r="C1661" s="2" t="str">
        <f t="shared" si="1072"/>
        <v>CH</v>
      </c>
      <c r="D1661" s="2" t="s">
        <v>1675</v>
      </c>
      <c r="E1661" s="21" t="s">
        <v>292</v>
      </c>
      <c r="F1661" s="21" t="s">
        <v>292</v>
      </c>
      <c r="G1661" s="21" t="s">
        <v>292</v>
      </c>
      <c r="H1661" s="21" t="s">
        <v>292</v>
      </c>
      <c r="I1661" s="21" t="s">
        <v>292</v>
      </c>
      <c r="J1661" s="21" t="s">
        <v>292</v>
      </c>
      <c r="K1661" s="21" t="s">
        <v>292</v>
      </c>
    </row>
    <row r="1662" spans="2:11" x14ac:dyDescent="0.35">
      <c r="B1662" t="str">
        <f t="shared" ref="B1662:B1682" si="1084">B1661</f>
        <v>SPS1</v>
      </c>
      <c r="C1662" t="str">
        <f t="shared" si="1072"/>
        <v>CH</v>
      </c>
      <c r="D1662" t="s">
        <v>1676</v>
      </c>
      <c r="E1662" t="s">
        <v>1518</v>
      </c>
      <c r="F1662" s="1" cm="1">
        <f t="array" ref="F1662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2" s="1" cm="1">
        <f t="array" ref="G1662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2" s="1" cm="1">
        <f t="array" ref="H1662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2" s="1" cm="1">
        <f t="array" ref="I1662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2" s="1" cm="1">
        <f t="array" ref="J1662">SUMPRODUCT(("TPRLPELCEXT"=[1]OUT_TransportEnergyCons!$A$3:$A$1000)*1,("var_fout"=[1]OUT_TransportEnergyCons!$B$3:$B$1000)*1,ISNUMBER(SEARCH("TPRLP",[1]OUT_TransportEnergyCons!$C$3:$C$1000))*1,[1]OUT_TransportEnergyCons!H$3:H$1000)</f>
        <v>0.24502340395851863</v>
      </c>
      <c r="K1662" s="1" cm="1">
        <f t="array" ref="K1662">SUMPRODUCT(("TPRLPELCEXT"=[1]OUT_TransportEnergyCons!$A$3:$A$1000)*1,("var_fout"=[1]OUT_TransportEnergyCons!$B$3:$B$1000)*1,ISNUMBER(SEARCH("TPRLP",[1]OUT_TransportEnergyCons!$C$3:$C$1000))*1,[1]OUT_TransportEnergyCons!I$3:I$1000)</f>
        <v>0.26339849883812039</v>
      </c>
    </row>
    <row r="1663" spans="2:11" x14ac:dyDescent="0.35">
      <c r="B1663" t="str">
        <f t="shared" si="1084"/>
        <v>SPS1</v>
      </c>
      <c r="C1663" t="str">
        <f t="shared" si="1072"/>
        <v>CH</v>
      </c>
      <c r="D1663" t="s">
        <v>1677</v>
      </c>
      <c r="E1663" t="str">
        <f t="shared" ref="E1663:E1666" si="1085">E1662</f>
        <v>Billion km/yr.</v>
      </c>
      <c r="F1663" s="1" cm="1">
        <f t="array" ref="F1663">SUMPRODUCT(("TFRLFELCEXT"=[1]OUT_TransportEnergyCons!$A$3:$A$1000)*1,("var_fout"=[1]OUT_TransportEnergyCons!$B$3:$B$1000)*1,ISNUMBER(SEARCH("TfRLf",[1]OUT_TransportEnergyCons!$C$3:$C$1000))*1,[1]OUT_TransportEnergyCons!D$3:D$1000)</f>
        <v>2.5094622348485602E-2</v>
      </c>
      <c r="G1663" s="1" cm="1">
        <f t="array" ref="G1663">SUMPRODUCT(("TFRLFELCEXT"=[1]OUT_TransportEnergyCons!$A$3:$A$1000)*1,("var_fout"=[1]OUT_TransportEnergyCons!$B$3:$B$1000)*1,ISNUMBER(SEARCH("TfRLf",[1]OUT_TransportEnergyCons!$C$3:$C$1000))*1,[1]OUT_TransportEnergyCons!E$3:E$1000)</f>
        <v>2.656497166067243E-2</v>
      </c>
      <c r="H1663" s="1" cm="1">
        <f t="array" ref="H1663">SUMPRODUCT(("TFRLFELCEXT"=[1]OUT_TransportEnergyCons!$A$3:$A$1000)*1,("var_fout"=[1]OUT_TransportEnergyCons!$B$3:$B$1000)*1,ISNUMBER(SEARCH("TfRLf",[1]OUT_TransportEnergyCons!$C$3:$C$1000))*1,[1]OUT_TransportEnergyCons!F$3:F$1000)</f>
        <v>2.9170700070370759E-2</v>
      </c>
      <c r="I1663" s="1" cm="1">
        <f t="array" ref="I1663">SUMPRODUCT(("TFRLFELCEXT"=[1]OUT_TransportEnergyCons!$A$3:$A$1000)*1,("var_fout"=[1]OUT_TransportEnergyCons!$B$3:$B$1000)*1,ISNUMBER(SEARCH("TfRLf",[1]OUT_TransportEnergyCons!$C$3:$C$1000))*1,[1]OUT_TransportEnergyCons!G$3:G$1000)</f>
        <v>3.1643390514144672E-2</v>
      </c>
      <c r="J1663" s="1" cm="1">
        <f t="array" ref="J1663">SUMPRODUCT(("TFRLFELCEXT"=[1]OUT_TransportEnergyCons!$A$3:$A$1000)*1,("var_fout"=[1]OUT_TransportEnergyCons!$B$3:$B$1000)*1,ISNUMBER(SEARCH("TfRLf",[1]OUT_TransportEnergyCons!$C$3:$C$1000))*1,[1]OUT_TransportEnergyCons!H$3:H$1000)</f>
        <v>3.3878903963682358E-2</v>
      </c>
      <c r="K1663" s="1" cm="1">
        <f t="array" ref="K1663">SUMPRODUCT(("TFRLFELCEXT"=[1]OUT_TransportEnergyCons!$A$3:$A$1000)*1,("var_fout"=[1]OUT_TransportEnergyCons!$B$3:$B$1000)*1,ISNUMBER(SEARCH("TfRLf",[1]OUT_TransportEnergyCons!$C$3:$C$1000))*1,[1]OUT_TransportEnergyCons!I$3:I$1000)</f>
        <v>3.6423062483559879E-2</v>
      </c>
    </row>
    <row r="1664" spans="2:11" x14ac:dyDescent="0.35">
      <c r="B1664" t="str">
        <f t="shared" si="1084"/>
        <v>SPS1</v>
      </c>
      <c r="C1664" t="str">
        <f t="shared" si="1072"/>
        <v>CH</v>
      </c>
      <c r="D1664" t="s">
        <v>1678</v>
      </c>
      <c r="E1664" t="s">
        <v>8</v>
      </c>
      <c r="F1664" s="1" cm="1">
        <f t="array" ref="F1664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4" s="1" cm="1">
        <f t="array" ref="G1664">SUMPRODUCT(("TPSHPELCEXT"=[1]OUT_TransportEnergyCons!$A$3:$A$1000)*1,("var_fout"=[1]OUT_TransportEnergyCons!$B$3:$B$1000)*1,ISNUMBER(SEARCH("TPSHP",[1]OUT_TransportEnergyCons!$C$3:$C$1000))*1,[1]OUT_TransportEnergyCons!E$3:E$1000)</f>
        <v>8.1689892558432905E-6</v>
      </c>
      <c r="H1664" s="1" cm="1">
        <f t="array" ref="H1664">SUMPRODUCT(("TPSHPELCEXT"=[1]OUT_TransportEnergyCons!$A$3:$A$1000)*1,("var_fout"=[1]OUT_TransportEnergyCons!$B$3:$B$1000)*1,ISNUMBER(SEARCH("TPSHP",[1]OUT_TransportEnergyCons!$C$3:$C$1000))*1,[1]OUT_TransportEnergyCons!F$3:F$1000)</f>
        <v>9.7001185037068206E-6</v>
      </c>
      <c r="I1664" s="1" cm="1">
        <f t="array" ref="I1664">SUMPRODUCT(("TPSHPELCEXT"=[1]OUT_TransportEnergyCons!$A$3:$A$1000)*1,("var_fout"=[1]OUT_TransportEnergyCons!$B$3:$B$1000)*1,ISNUMBER(SEARCH("TPSHP",[1]OUT_TransportEnergyCons!$C$3:$C$1000))*1,[1]OUT_TransportEnergyCons!G$3:G$1000)</f>
        <v>1.3103286947025001E-5</v>
      </c>
      <c r="J1664" s="1" cm="1">
        <f t="array" ref="J1664">SUMPRODUCT(("TPSHPELCEXT"=[1]OUT_TransportEnergyCons!$A$3:$A$1000)*1,("var_fout"=[1]OUT_TransportEnergyCons!$B$3:$B$1000)*1,ISNUMBER(SEARCH("TPSHP",[1]OUT_TransportEnergyCons!$C$3:$C$1000))*1,[1]OUT_TransportEnergyCons!H$3:H$1000)</f>
        <v>1.07577672442269E-4</v>
      </c>
      <c r="K1664" s="1" cm="1">
        <f t="array" ref="K1664">SUMPRODUCT(("TPSHPELCEXT"=[1]OUT_TransportEnergyCons!$A$3:$A$1000)*1,("var_fout"=[1]OUT_TransportEnergyCons!$B$3:$B$1000)*1,ISNUMBER(SEARCH("TPSHP",[1]OUT_TransportEnergyCons!$C$3:$C$1000))*1,[1]OUT_TransportEnergyCons!I$3:I$1000)</f>
        <v>3.7237253197383798E-5</v>
      </c>
    </row>
    <row r="1665" spans="2:11" x14ac:dyDescent="0.35">
      <c r="B1665" t="str">
        <f t="shared" si="1084"/>
        <v>SPS1</v>
      </c>
      <c r="C1665" t="str">
        <f t="shared" si="1072"/>
        <v>CH</v>
      </c>
      <c r="D1665" t="s">
        <v>1679</v>
      </c>
      <c r="E1665" t="s">
        <v>1518</v>
      </c>
      <c r="F1665" s="1" cm="1">
        <f t="array" ref="F1665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65" s="1" cm="1">
        <f t="array" ref="G1665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65" s="1" cm="1">
        <f t="array" ref="H1665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65" s="1" cm="1">
        <f t="array" ref="I1665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65" s="1" cm="1">
        <f t="array" ref="J1665">SUMPRODUCT(("TPRLPH2OFCL"=[1]OUT_TransportEnergyCons!$A$3:$A$1000)*1,("var_fout"=[1]OUT_TransportEnergyCons!$B$3:$B$1000)*1,ISNUMBER(SEARCH("TPRLP",[1]OUT_TransportEnergyCons!$C$3:$C$1000))*1,[1]OUT_TransportEnergyCons!H$3:H$1000)</f>
        <v>1.4400677078571296E-6</v>
      </c>
      <c r="K1665" s="1" cm="1">
        <f t="array" ref="K1665">SUMPRODUCT(("TPRLPH2OFCL"=[1]OUT_TransportEnergyCons!$A$3:$A$1000)*1,("var_fout"=[1]OUT_TransportEnergyCons!$B$3:$B$1000)*1,ISNUMBER(SEARCH("TPRLP",[1]OUT_TransportEnergyCons!$C$3:$C$1000))*1,[1]OUT_TransportEnergyCons!I$3:I$1000)</f>
        <v>1.6952160216535984E-6</v>
      </c>
    </row>
    <row r="1666" spans="2:11" x14ac:dyDescent="0.35">
      <c r="B1666" t="str">
        <f t="shared" si="1084"/>
        <v>SPS1</v>
      </c>
      <c r="C1666" t="str">
        <f t="shared" si="1072"/>
        <v>CH</v>
      </c>
      <c r="D1666" t="s">
        <v>1680</v>
      </c>
      <c r="E1666" t="str">
        <f t="shared" si="1085"/>
        <v>Billion km/yr.</v>
      </c>
      <c r="F1666" s="1" cm="1">
        <f t="array" ref="F1666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66" s="1" cm="1">
        <f t="array" ref="G1666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66" s="1" cm="1">
        <f t="array" ref="H1666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66" s="1" cm="1">
        <f t="array" ref="I1666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66" s="1" cm="1">
        <f t="array" ref="J1666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66" s="1" cm="1">
        <f t="array" ref="K1666">SUMPRODUCT(("TFRLFH2OFCL"=[1]OUT_TransportEnergyCons!$A$3:$A$1000)*1,("var_fout"=[1]OUT_TransportEnergyCons!$B$3:$B$1000)*1,ISNUMBER(SEARCH("TfRLf",[1]OUT_TransportEnergyCons!$C$3:$C$1000))*1,[1]OUT_TransportEnergyCons!I$3:I$1000)</f>
        <v>0</v>
      </c>
    </row>
    <row r="1667" spans="2:11" x14ac:dyDescent="0.35">
      <c r="B1667" t="str">
        <f t="shared" si="1084"/>
        <v>SPS1</v>
      </c>
      <c r="C1667" t="str">
        <f t="shared" si="1072"/>
        <v>CH</v>
      </c>
      <c r="D1667" t="s">
        <v>1681</v>
      </c>
      <c r="E1667" t="s">
        <v>8</v>
      </c>
      <c r="F1667" s="1" cm="1">
        <f t="array" ref="F1667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67" s="1" cm="1">
        <f t="array" ref="G1667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67" s="1" cm="1">
        <f t="array" ref="H1667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67" s="1" cm="1">
        <f t="array" ref="I1667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67" s="1" cm="1">
        <f t="array" ref="J1667">SUMPRODUCT(("TPSHPH2OEXT"=[1]OUT_TransportEnergyCons!$A$3:$A$1000)*1,("var_fout"=[1]OUT_TransportEnergyCons!$B$3:$B$1000)*1,ISNUMBER(SEARCH("TPSHP",[1]OUT_TransportEnergyCons!$C$3:$C$1000))*1,[1]OUT_TransportEnergyCons!H$3:H$1000)</f>
        <v>8.0294342089819905E-5</v>
      </c>
      <c r="K1667" s="1" cm="1">
        <f t="array" ref="K1667">SUMPRODUCT(("TPSHPH2OEXT"=[1]OUT_TransportEnergyCons!$A$3:$A$1000)*1,("var_fout"=[1]OUT_TransportEnergyCons!$B$3:$B$1000)*1,ISNUMBER(SEARCH("TPSHP",[1]OUT_TransportEnergyCons!$C$3:$C$1000))*1,[1]OUT_TransportEnergyCons!I$3:I$1000)</f>
        <v>2.03047160601782E-5</v>
      </c>
    </row>
    <row r="1668" spans="2:11" x14ac:dyDescent="0.35">
      <c r="B1668" t="str">
        <f t="shared" si="1084"/>
        <v>SPS1</v>
      </c>
      <c r="C1668" t="str">
        <f t="shared" si="1072"/>
        <v>CH</v>
      </c>
      <c r="D1668" t="s">
        <v>1682</v>
      </c>
      <c r="E1668" t="s">
        <v>8</v>
      </c>
      <c r="F1668" s="1" cm="1">
        <f t="array" ref="F1668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68" s="1" cm="1">
        <f t="array" ref="G1668">SUMPRODUCT(("TPSHPGSLEXT"=[1]OUT_TransportEnergyCons!$A$3:$A$1000)*1,("var_fout"=[1]OUT_TransportEnergyCons!$B$3:$B$1000)*1,ISNUMBER(SEARCH("TPSHP",[1]OUT_TransportEnergyCons!$C$3:$C$1000))*1,[1]OUT_TransportEnergyCons!E$3:E$1000)</f>
        <v>0.76652943199219103</v>
      </c>
      <c r="H1668" s="1" cm="1">
        <f t="array" ref="H1668">SUMPRODUCT(("TPSHPGSLEXT"=[1]OUT_TransportEnergyCons!$A$3:$A$1000)*1,("var_fout"=[1]OUT_TransportEnergyCons!$B$3:$B$1000)*1,ISNUMBER(SEARCH("TPSHP",[1]OUT_TransportEnergyCons!$C$3:$C$1000))*1,[1]OUT_TransportEnergyCons!F$3:F$1000)</f>
        <v>1.11635806939031E-4</v>
      </c>
      <c r="I1668" s="1" cm="1">
        <f t="array" ref="I1668">SUMPRODUCT(("TPSHPGSLEXT"=[1]OUT_TransportEnergyCons!$A$3:$A$1000)*1,("var_fout"=[1]OUT_TransportEnergyCons!$B$3:$B$1000)*1,ISNUMBER(SEARCH("TPSHP",[1]OUT_TransportEnergyCons!$C$3:$C$1000))*1,[1]OUT_TransportEnergyCons!G$3:G$1000)</f>
        <v>9.4715128417605302E-5</v>
      </c>
      <c r="J1668" s="1" cm="1">
        <f t="array" ref="J1668">SUMPRODUCT(("TPSHPGSLEXT"=[1]OUT_TransportEnergyCons!$A$3:$A$1000)*1,("var_fout"=[1]OUT_TransportEnergyCons!$B$3:$B$1000)*1,ISNUMBER(SEARCH("TPSHP",[1]OUT_TransportEnergyCons!$C$3:$C$1000))*1,[1]OUT_TransportEnergyCons!H$3:H$1000)</f>
        <v>1.07082465117756E-4</v>
      </c>
      <c r="K1668" s="1" cm="1">
        <f t="array" ref="K1668">SUMPRODUCT(("TPSHPGSLEXT"=[1]OUT_TransportEnergyCons!$A$3:$A$1000)*1,("var_fout"=[1]OUT_TransportEnergyCons!$B$3:$B$1000)*1,ISNUMBER(SEARCH("TPSHP",[1]OUT_TransportEnergyCons!$C$3:$C$1000))*1,[1]OUT_TransportEnergyCons!I$3:I$1000)</f>
        <v>0</v>
      </c>
    </row>
    <row r="1669" spans="2:11" x14ac:dyDescent="0.35">
      <c r="B1669" t="str">
        <f t="shared" si="1084"/>
        <v>SPS1</v>
      </c>
      <c r="C1669" t="str">
        <f t="shared" si="1072"/>
        <v>CH</v>
      </c>
      <c r="D1669" t="s">
        <v>1683</v>
      </c>
      <c r="E1669" t="s">
        <v>1518</v>
      </c>
      <c r="F1669" s="1" cm="1">
        <f t="array" ref="F1669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69" s="1" cm="1">
        <f t="array" ref="G1669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69" s="1" cm="1">
        <f t="array" ref="H1669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69" s="1" cm="1">
        <f t="array" ref="I1669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69" s="1" cm="1">
        <f t="array" ref="J1669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69" s="1" cm="1">
        <f t="array" ref="K1669">SUMPRODUCT(("TPRLPDSLEXT"=[1]OUT_TransportEnergyCons!$A$3:$A$1000)*1,("var_fout"=[1]OUT_TransportEnergyCons!$B$3:$B$1000)*1,ISNUMBER(SEARCH("TPRLP",[1]OUT_TransportEnergyCons!$C$3:$C$1000))*1,[1]OUT_TransportEnergyCons!I$3:I$1000)</f>
        <v>0</v>
      </c>
    </row>
    <row r="1670" spans="2:11" x14ac:dyDescent="0.35">
      <c r="B1670" t="str">
        <f t="shared" si="1084"/>
        <v>SPS1</v>
      </c>
      <c r="C1670" t="str">
        <f t="shared" si="1072"/>
        <v>CH</v>
      </c>
      <c r="D1670" t="s">
        <v>1684</v>
      </c>
      <c r="E1670" t="str">
        <f t="shared" ref="E1670" si="1086">E1669</f>
        <v>Billion km/yr.</v>
      </c>
      <c r="F1670" s="1" cm="1">
        <f t="array" ref="F1670">SUMPRODUCT(("TFRLFDSLEXT"=[1]OUT_TransportEnergyCons!$A$3:$A$1000)*1,("var_fout"=[1]OUT_TransportEnergyCons!$B$3:$B$1000)*1,ISNUMBER(SEARCH("TfRLf",[1]OUT_TransportEnergyCons!$C$3:$C$1000))*1,[1]OUT_TransportEnergyCons!D$3:D$1000)</f>
        <v>1.6053776515143846E-3</v>
      </c>
      <c r="G1670" s="1" cm="1">
        <f t="array" ref="G1670">SUMPRODUCT(("TFRLFDSLEXT"=[1]OUT_TransportEnergyCons!$A$3:$A$1000)*1,("var_fout"=[1]OUT_TransportEnergyCons!$B$3:$B$1000)*1,ISNUMBER(SEARCH("TfRLf",[1]OUT_TransportEnergyCons!$C$3:$C$1000))*1,[1]OUT_TransportEnergyCons!E$3:E$1000)</f>
        <v>1.1241348508344779E-3</v>
      </c>
      <c r="H1670" s="1" cm="1">
        <f t="array" ref="H1670">SUMPRODUCT(("TFRLFDSLEXT"=[1]OUT_TransportEnergyCons!$A$3:$A$1000)*1,("var_fout"=[1]OUT_TransportEnergyCons!$B$3:$B$1000)*1,ISNUMBER(SEARCH("TfRLf",[1]OUT_TransportEnergyCons!$C$3:$C$1000))*1,[1]OUT_TransportEnergyCons!F$3:F$1000)</f>
        <v>1.3784709596070463E-6</v>
      </c>
      <c r="I1670" s="1" cm="1">
        <f t="array" ref="I1670">SUMPRODUCT(("TFRLFDSLEXT"=[1]OUT_TransportEnergyCons!$A$3:$A$1000)*1,("var_fout"=[1]OUT_TransportEnergyCons!$B$3:$B$1000)*1,ISNUMBER(SEARCH("TfRLf",[1]OUT_TransportEnergyCons!$C$3:$C$1000))*1,[1]OUT_TransportEnergyCons!G$3:G$1000)</f>
        <v>1.4375349159968796E-6</v>
      </c>
      <c r="J1670" s="1" cm="1">
        <f t="array" ref="J1670">SUMPRODUCT(("TFRLFDSLEXT"=[1]OUT_TransportEnergyCons!$A$3:$A$1000)*1,("var_fout"=[1]OUT_TransportEnergyCons!$B$3:$B$1000)*1,ISNUMBER(SEARCH("TfRLf",[1]OUT_TransportEnergyCons!$C$3:$C$1000))*1,[1]OUT_TransportEnergyCons!H$3:H$1000)</f>
        <v>1.4442431608776644E-6</v>
      </c>
      <c r="K1670" s="1" cm="1">
        <f t="array" ref="K1670">SUMPRODUCT(("TFRLFDSLEXT"=[1]OUT_TransportEnergyCons!$A$3:$A$1000)*1,("var_fout"=[1]OUT_TransportEnergyCons!$B$3:$B$1000)*1,ISNUMBER(SEARCH("TfRLf",[1]OUT_TransportEnergyCons!$C$3:$C$1000))*1,[1]OUT_TransportEnergyCons!I$3:I$1000)</f>
        <v>0</v>
      </c>
    </row>
    <row r="1671" spans="2:11" x14ac:dyDescent="0.35">
      <c r="B1671" t="str">
        <f t="shared" si="1084"/>
        <v>SPS1</v>
      </c>
      <c r="C1671" t="str">
        <f t="shared" si="1072"/>
        <v>CH</v>
      </c>
      <c r="D1671" t="s">
        <v>1685</v>
      </c>
      <c r="E1671" t="s">
        <v>8</v>
      </c>
      <c r="F1671" s="1" cm="1">
        <f t="array" ref="F1671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1" s="1" cm="1">
        <f t="array" ref="G1671">SUMPRODUCT(("TPSHPDSLEXT"=[1]OUT_TransportEnergyCons!$A$3:$A$1000)*1,("var_fout"=[1]OUT_TransportEnergyCons!$B$3:$B$1000)*1,ISNUMBER(SEARCH("TPSHP",[1]OUT_TransportEnergyCons!$C$3:$C$1000))*1,[1]OUT_TransportEnergyCons!E$3:E$1000)</f>
        <v>17.1318620007901</v>
      </c>
      <c r="H1671" s="1" cm="1">
        <f t="array" ref="H1671">SUMPRODUCT(("TPSHPDSLEXT"=[1]OUT_TransportEnergyCons!$A$3:$A$1000)*1,("var_fout"=[1]OUT_TransportEnergyCons!$B$3:$B$1000)*1,ISNUMBER(SEARCH("TPSHP",[1]OUT_TransportEnergyCons!$C$3:$C$1000))*1,[1]OUT_TransportEnergyCons!F$3:F$1000)</f>
        <v>17.0247291535389</v>
      </c>
      <c r="I1671" s="1" cm="1">
        <f t="array" ref="I1671">SUMPRODUCT(("TPSHPDSLEXT"=[1]OUT_TransportEnergyCons!$A$3:$A$1000)*1,("var_fout"=[1]OUT_TransportEnergyCons!$B$3:$B$1000)*1,ISNUMBER(SEARCH("TPSHP",[1]OUT_TransportEnergyCons!$C$3:$C$1000))*1,[1]OUT_TransportEnergyCons!G$3:G$1000)</f>
        <v>16.1513812195535</v>
      </c>
      <c r="J1671" s="1" cm="1">
        <f t="array" ref="J1671">SUMPRODUCT(("TPSHPDSLEXT"=[1]OUT_TransportEnergyCons!$A$3:$A$1000)*1,("var_fout"=[1]OUT_TransportEnergyCons!$B$3:$B$1000)*1,ISNUMBER(SEARCH("TPSHP",[1]OUT_TransportEnergyCons!$C$3:$C$1000))*1,[1]OUT_TransportEnergyCons!H$3:H$1000)</f>
        <v>16.151364427550799</v>
      </c>
      <c r="K1671" s="1" cm="1">
        <f t="array" ref="K1671">SUMPRODUCT(("TPSHPDSLEXT"=[1]OUT_TransportEnergyCons!$A$3:$A$1000)*1,("var_fout"=[1]OUT_TransportEnergyCons!$B$3:$B$1000)*1,ISNUMBER(SEARCH("TPSHP",[1]OUT_TransportEnergyCons!$C$3:$C$1000))*1,[1]OUT_TransportEnergyCons!I$3:I$1000)</f>
        <v>16.151112766267701</v>
      </c>
    </row>
    <row r="1672" spans="2:11" x14ac:dyDescent="0.35">
      <c r="B1672" s="2" t="str">
        <f t="shared" si="1084"/>
        <v>SPS1</v>
      </c>
      <c r="C1672" s="2" t="str">
        <f t="shared" si="1072"/>
        <v>CH</v>
      </c>
      <c r="D1672" s="2" t="s">
        <v>1686</v>
      </c>
      <c r="E1672" s="21" t="s">
        <v>292</v>
      </c>
      <c r="F1672" s="21" t="s">
        <v>292</v>
      </c>
      <c r="G1672" s="21" t="s">
        <v>292</v>
      </c>
      <c r="H1672" s="21" t="s">
        <v>292</v>
      </c>
      <c r="I1672" s="21" t="s">
        <v>292</v>
      </c>
      <c r="J1672" s="21" t="s">
        <v>292</v>
      </c>
      <c r="K1672" s="21" t="s">
        <v>292</v>
      </c>
    </row>
    <row r="1673" spans="2:11" x14ac:dyDescent="0.35">
      <c r="B1673" t="str">
        <f t="shared" si="1084"/>
        <v>SPS1</v>
      </c>
      <c r="C1673" t="str">
        <f t="shared" si="1072"/>
        <v>CH</v>
      </c>
      <c r="D1673" t="s">
        <v>1687</v>
      </c>
      <c r="E1673" t="s">
        <v>1230</v>
      </c>
      <c r="F1673" s="7">
        <f>IFERROR(F1662/F1640,"-")</f>
        <v>2.5309161094553195E-2</v>
      </c>
      <c r="G1673" s="7">
        <f t="shared" ref="G1673:K1673" si="1087">IFERROR(G1662/G1640,"-")</f>
        <v>2.5301857215832019E-2</v>
      </c>
      <c r="H1673" s="7">
        <f t="shared" si="1087"/>
        <v>2.5290901397750198E-2</v>
      </c>
      <c r="I1673" s="7">
        <f t="shared" si="1087"/>
        <v>2.5272641700947188E-2</v>
      </c>
      <c r="J1673" s="7">
        <f t="shared" si="1087"/>
        <v>2.5236122307341242E-2</v>
      </c>
      <c r="K1673" s="7">
        <f t="shared" si="1087"/>
        <v>2.5199602913735308E-2</v>
      </c>
    </row>
    <row r="1674" spans="2:11" x14ac:dyDescent="0.35">
      <c r="B1674" t="str">
        <f t="shared" si="1084"/>
        <v>SPS1</v>
      </c>
      <c r="C1674" t="str">
        <f t="shared" si="1072"/>
        <v>CH</v>
      </c>
      <c r="D1674" t="s">
        <v>1688</v>
      </c>
      <c r="E1674" t="s">
        <v>1230</v>
      </c>
      <c r="F1674" s="7">
        <f>IFERROR(F1663/F1641,"-")</f>
        <v>1.6704032219401282E-2</v>
      </c>
      <c r="G1674" s="7">
        <f t="shared" ref="G1674:K1674" si="1088">IFERROR(G1663/G1641,"-")</f>
        <v>1.6704032219401303E-2</v>
      </c>
      <c r="H1674" s="7">
        <f t="shared" si="1088"/>
        <v>1.6704032219401276E-2</v>
      </c>
      <c r="I1674" s="7">
        <f t="shared" si="1088"/>
        <v>1.6704032219401303E-2</v>
      </c>
      <c r="J1674" s="7">
        <f t="shared" si="1088"/>
        <v>1.6704032219401296E-2</v>
      </c>
      <c r="K1674" s="7">
        <f t="shared" si="1088"/>
        <v>1.6704032219401307E-2</v>
      </c>
    </row>
    <row r="1675" spans="2:11" x14ac:dyDescent="0.35">
      <c r="B1675" t="str">
        <f t="shared" si="1084"/>
        <v>SPS1</v>
      </c>
      <c r="C1675" t="str">
        <f t="shared" si="1072"/>
        <v>CH</v>
      </c>
      <c r="D1675" t="s">
        <v>1689</v>
      </c>
      <c r="E1675" t="s">
        <v>240</v>
      </c>
      <c r="F1675" t="str">
        <f>IFERROR(F1664/F1642,"-")</f>
        <v>-</v>
      </c>
      <c r="G1675">
        <f t="shared" ref="G1675:K1675" si="1089">IFERROR(G1664/G1642,"-")</f>
        <v>2.4673913043478364</v>
      </c>
      <c r="H1675">
        <f t="shared" si="1089"/>
        <v>2.4673913043478217</v>
      </c>
      <c r="I1675">
        <f t="shared" si="1089"/>
        <v>2.467391304347843</v>
      </c>
      <c r="J1675">
        <f t="shared" si="1089"/>
        <v>2.4673913043478235</v>
      </c>
      <c r="K1675">
        <f t="shared" si="1089"/>
        <v>2.467391304347843</v>
      </c>
    </row>
    <row r="1676" spans="2:11" x14ac:dyDescent="0.35">
      <c r="B1676" t="str">
        <f t="shared" si="1084"/>
        <v>SPS1</v>
      </c>
      <c r="C1676" t="str">
        <f t="shared" si="1072"/>
        <v>CH</v>
      </c>
      <c r="D1676" t="s">
        <v>1690</v>
      </c>
      <c r="E1676" t="s">
        <v>1230</v>
      </c>
      <c r="F1676" t="str">
        <f>IFERROR(F1665/F1644,"-")</f>
        <v>-</v>
      </c>
      <c r="G1676" t="str">
        <f t="shared" ref="G1676:K1676" si="1090">IFERROR(G1665/G1644,"-")</f>
        <v>-</v>
      </c>
      <c r="H1676" t="str">
        <f t="shared" si="1090"/>
        <v>-</v>
      </c>
      <c r="I1676" t="str">
        <f t="shared" si="1090"/>
        <v>-</v>
      </c>
      <c r="J1676">
        <f t="shared" si="1090"/>
        <v>1.7941883805152235E-2</v>
      </c>
      <c r="K1676">
        <f t="shared" si="1090"/>
        <v>1.932007737936239E-2</v>
      </c>
    </row>
    <row r="1677" spans="2:11" x14ac:dyDescent="0.35">
      <c r="B1677" t="str">
        <f t="shared" si="1084"/>
        <v>SPS1</v>
      </c>
      <c r="C1677" t="str">
        <f t="shared" si="1072"/>
        <v>CH</v>
      </c>
      <c r="D1677" t="s">
        <v>1691</v>
      </c>
      <c r="E1677" t="s">
        <v>1230</v>
      </c>
      <c r="F1677" t="str">
        <f>IFERROR(F1666/F1645,"-")</f>
        <v>-</v>
      </c>
      <c r="G1677" t="str">
        <f t="shared" ref="G1677:K1677" si="1091">IFERROR(G1666/G1645,"-")</f>
        <v>-</v>
      </c>
      <c r="H1677" t="str">
        <f t="shared" si="1091"/>
        <v>-</v>
      </c>
      <c r="I1677" t="str">
        <f t="shared" si="1091"/>
        <v>-</v>
      </c>
      <c r="J1677" t="str">
        <f t="shared" si="1091"/>
        <v>-</v>
      </c>
      <c r="K1677" t="str">
        <f t="shared" si="1091"/>
        <v>-</v>
      </c>
    </row>
    <row r="1678" spans="2:11" x14ac:dyDescent="0.35">
      <c r="B1678" t="str">
        <f t="shared" si="1084"/>
        <v>SPS1</v>
      </c>
      <c r="C1678" t="str">
        <f t="shared" si="1072"/>
        <v>CH</v>
      </c>
      <c r="D1678" t="s">
        <v>1692</v>
      </c>
      <c r="E1678" t="s">
        <v>240</v>
      </c>
      <c r="F1678" t="str">
        <f>IFERROR(F1667/F1646,"-")</f>
        <v>-</v>
      </c>
      <c r="G1678" t="str">
        <f t="shared" ref="G1678:K1678" si="1092">IFERROR(G1667/G1646,"-")</f>
        <v>-</v>
      </c>
      <c r="H1678" t="str">
        <f t="shared" si="1092"/>
        <v>-</v>
      </c>
      <c r="I1678" t="str">
        <f t="shared" si="1092"/>
        <v>-</v>
      </c>
      <c r="J1678">
        <f t="shared" si="1092"/>
        <v>1.7934782608695721</v>
      </c>
      <c r="K1678">
        <f t="shared" si="1092"/>
        <v>1.7934782608695732</v>
      </c>
    </row>
    <row r="1679" spans="2:11" x14ac:dyDescent="0.35">
      <c r="B1679" t="str">
        <f t="shared" si="1084"/>
        <v>SPS1</v>
      </c>
      <c r="C1679" t="str">
        <f t="shared" si="1072"/>
        <v>CH</v>
      </c>
      <c r="D1679" t="s">
        <v>1693</v>
      </c>
      <c r="E1679" t="s">
        <v>240</v>
      </c>
      <c r="F1679" s="4">
        <f>IFERROR(F1668/F1652,"-")</f>
        <v>0.90641226905247907</v>
      </c>
      <c r="G1679" s="4">
        <f t="shared" ref="G1679:K1679" si="1093">IFERROR(G1668/G1652,"-")</f>
        <v>0.90641226905247918</v>
      </c>
      <c r="H1679" s="4">
        <f t="shared" si="1093"/>
        <v>0.90641226905247951</v>
      </c>
      <c r="I1679" s="4">
        <f t="shared" si="1093"/>
        <v>0.90641226905247818</v>
      </c>
      <c r="J1679" s="4">
        <f t="shared" si="1093"/>
        <v>0.90641226905247962</v>
      </c>
      <c r="K1679" s="4" t="str">
        <f t="shared" si="1093"/>
        <v>-</v>
      </c>
    </row>
    <row r="1680" spans="2:11" x14ac:dyDescent="0.35">
      <c r="B1680" t="str">
        <f t="shared" si="1084"/>
        <v>SPS1</v>
      </c>
      <c r="C1680" t="str">
        <f t="shared" si="1072"/>
        <v>CH</v>
      </c>
      <c r="D1680" t="s">
        <v>1694</v>
      </c>
      <c r="E1680" t="s">
        <v>1230</v>
      </c>
      <c r="F1680" t="str">
        <f>IFERROR(F1669/F1658,"-")</f>
        <v>-</v>
      </c>
      <c r="G1680" t="str">
        <f t="shared" ref="G1680:K1682" si="1094">IFERROR(G1669/G1658,"-")</f>
        <v>-</v>
      </c>
      <c r="H1680" t="str">
        <f t="shared" si="1094"/>
        <v>-</v>
      </c>
      <c r="I1680" t="str">
        <f t="shared" si="1094"/>
        <v>-</v>
      </c>
      <c r="J1680" t="str">
        <f t="shared" si="1094"/>
        <v>-</v>
      </c>
      <c r="K1680" t="str">
        <f t="shared" si="1094"/>
        <v>-</v>
      </c>
    </row>
    <row r="1681" spans="2:11" x14ac:dyDescent="0.35">
      <c r="B1681" t="str">
        <f t="shared" si="1084"/>
        <v>SPS1</v>
      </c>
      <c r="C1681" t="str">
        <f t="shared" si="1072"/>
        <v>CH</v>
      </c>
      <c r="D1681" t="s">
        <v>1695</v>
      </c>
      <c r="E1681" t="s">
        <v>1230</v>
      </c>
      <c r="F1681" s="1">
        <f>IFERROR(F1670/F1659,"-")</f>
        <v>4.0530738867855121E-3</v>
      </c>
      <c r="G1681" s="1">
        <f t="shared" si="1094"/>
        <v>4.0530738867855104E-3</v>
      </c>
      <c r="H1681">
        <f t="shared" si="1094"/>
        <v>4.0530738867855087E-3</v>
      </c>
      <c r="I1681">
        <f t="shared" si="1094"/>
        <v>4.0530738867855078E-3</v>
      </c>
      <c r="J1681">
        <f t="shared" si="1094"/>
        <v>4.0530738867855147E-3</v>
      </c>
      <c r="K1681" t="str">
        <f t="shared" si="1094"/>
        <v>-</v>
      </c>
    </row>
    <row r="1682" spans="2:11" x14ac:dyDescent="0.35">
      <c r="B1682" t="str">
        <f t="shared" si="1084"/>
        <v>SPS1</v>
      </c>
      <c r="C1682" t="str">
        <f t="shared" si="1072"/>
        <v>CH</v>
      </c>
      <c r="D1682" t="s">
        <v>1696</v>
      </c>
      <c r="E1682" t="s">
        <v>240</v>
      </c>
      <c r="F1682" s="4">
        <f>IFERROR(F1671/F1660,"-")</f>
        <v>0.98826978015125178</v>
      </c>
      <c r="G1682" s="4">
        <f t="shared" si="1094"/>
        <v>0.98826978015124967</v>
      </c>
      <c r="H1682" s="4">
        <f t="shared" si="1094"/>
        <v>0.98826978015123923</v>
      </c>
      <c r="I1682" s="4">
        <f t="shared" si="1094"/>
        <v>0.98826978015125055</v>
      </c>
      <c r="J1682" s="4">
        <f t="shared" si="1094"/>
        <v>0.98826978015124034</v>
      </c>
      <c r="K1682" s="4">
        <f t="shared" si="1094"/>
        <v>0.98826978015124312</v>
      </c>
    </row>
    <row r="1683" spans="2:11" x14ac:dyDescent="0.35">
      <c r="B1683" s="2" t="str">
        <f>B1682</f>
        <v>SPS1</v>
      </c>
      <c r="C1683" s="2" t="str">
        <f>C1682</f>
        <v>CH</v>
      </c>
      <c r="D1683" s="2" t="s">
        <v>1702</v>
      </c>
      <c r="E1683" s="2" t="s">
        <v>442</v>
      </c>
      <c r="F1683" s="3">
        <f>SUM(F1684:F1686,F1689:F1691,-F1696)</f>
        <v>34.609147177602772</v>
      </c>
      <c r="G1683" s="3">
        <f t="shared" ref="G1683:K1683" si="1095">SUM(G1684:G1686,G1689:G1691,-G1696)</f>
        <v>32.406664784845859</v>
      </c>
      <c r="H1683" s="3">
        <f t="shared" si="1095"/>
        <v>29.935090241075549</v>
      </c>
      <c r="I1683" s="3">
        <f t="shared" si="1095"/>
        <v>20.900549067588457</v>
      </c>
      <c r="J1683" s="3">
        <f t="shared" si="1095"/>
        <v>8.9672024396506309</v>
      </c>
      <c r="K1683" s="3">
        <f t="shared" si="1095"/>
        <v>-1.1378611714025988E-2</v>
      </c>
    </row>
    <row r="1684" spans="2:11" x14ac:dyDescent="0.35">
      <c r="B1684" t="str">
        <f>B1683</f>
        <v>SPS1</v>
      </c>
      <c r="C1684" t="str">
        <f t="shared" ref="C1684" si="1096">C1683</f>
        <v>CH</v>
      </c>
      <c r="D1684" t="s">
        <v>1703</v>
      </c>
      <c r="E1684" t="str">
        <f>E1683</f>
        <v>Mt/yr.</v>
      </c>
      <c r="F1684" s="1">
        <f>[1]Summary!B53+[1]Summary!B59</f>
        <v>2.6038715907301531</v>
      </c>
      <c r="G1684" s="1">
        <f>[1]Summary!C53+[1]Summary!C59</f>
        <v>2.410849638369672</v>
      </c>
      <c r="H1684" s="1">
        <f>[1]Summary!D53+[1]Summary!D59</f>
        <v>2.3050426473076984</v>
      </c>
      <c r="I1684" s="1">
        <f>[1]Summary!E53+[1]Summary!E59</f>
        <v>2.2433885409040144</v>
      </c>
      <c r="J1684" s="1">
        <f>[1]Summary!F53+[1]Summary!F59</f>
        <v>0.8715699082888535</v>
      </c>
      <c r="K1684" s="1">
        <f>[1]Summary!G53+[1]Summary!G59</f>
        <v>8.7954834201876775E-2</v>
      </c>
    </row>
    <row r="1685" spans="2:11" x14ac:dyDescent="0.35">
      <c r="B1685" t="str">
        <f t="shared" ref="B1685:B1696" si="1097">B1684</f>
        <v>SPS1</v>
      </c>
      <c r="C1685" t="str">
        <f t="shared" ref="C1685:C1696" si="1098">C1684</f>
        <v>CH</v>
      </c>
      <c r="D1685" t="s">
        <v>1704</v>
      </c>
      <c r="E1685" t="str">
        <f t="shared" ref="E1685:E1696" si="1099">E1684</f>
        <v>Mt/yr.</v>
      </c>
      <c r="F1685" s="1">
        <f>[1]Summary!B54+[1]Summary!B61</f>
        <v>0</v>
      </c>
      <c r="G1685" s="1">
        <f>[1]Summary!C54+[1]Summary!C61</f>
        <v>0</v>
      </c>
      <c r="H1685" s="1">
        <f>[1]Summary!D54+[1]Summary!D61</f>
        <v>0</v>
      </c>
      <c r="I1685" s="1">
        <f>[1]Summary!E54+[1]Summary!E61</f>
        <v>0</v>
      </c>
      <c r="J1685" s="1">
        <f>[1]Summary!F54+[1]Summary!F61</f>
        <v>0</v>
      </c>
      <c r="K1685" s="1">
        <f>[1]Summary!G54+[1]Summary!G61+[1]Summary!G62</f>
        <v>-1.4306683377786247</v>
      </c>
    </row>
    <row r="1686" spans="2:11" x14ac:dyDescent="0.35">
      <c r="B1686" t="str">
        <f t="shared" si="1097"/>
        <v>SPS1</v>
      </c>
      <c r="C1686" t="str">
        <f t="shared" si="1098"/>
        <v>CH</v>
      </c>
      <c r="D1686" t="s">
        <v>1705</v>
      </c>
      <c r="E1686" t="str">
        <f t="shared" si="1099"/>
        <v>Mt/yr.</v>
      </c>
      <c r="F1686" s="1">
        <f>[1]Summary!B55+[1]Summary!B60</f>
        <v>6.4916558322227118</v>
      </c>
      <c r="G1686" s="1">
        <f>[1]Summary!C55+[1]Summary!C60</f>
        <v>6.0814069711971399</v>
      </c>
      <c r="H1686" s="1">
        <f>[1]Summary!D55+[1]Summary!D60</f>
        <v>5.6511574277191094</v>
      </c>
      <c r="I1686" s="1">
        <f>[1]Summary!E55+[1]Summary!E60</f>
        <v>4.8933996750217794</v>
      </c>
      <c r="J1686" s="1">
        <f>[1]Summary!F55+[1]Summary!F60</f>
        <v>3.5917739565683124</v>
      </c>
      <c r="K1686" s="1">
        <f>[1]Summary!G55+[1]Summary!G60</f>
        <v>0.67670114288007621</v>
      </c>
    </row>
    <row r="1687" spans="2:11" x14ac:dyDescent="0.35">
      <c r="B1687" t="str">
        <f t="shared" si="1097"/>
        <v>SPS1</v>
      </c>
      <c r="C1687" t="str">
        <f t="shared" si="1098"/>
        <v>CH</v>
      </c>
      <c r="D1687" t="s">
        <v>1715</v>
      </c>
      <c r="E1687" t="str">
        <f t="shared" si="1099"/>
        <v>Mt/yr.</v>
      </c>
      <c r="F1687" s="1">
        <f>F1686-F1688</f>
        <v>4.4023090317380724</v>
      </c>
      <c r="G1687" s="1">
        <f t="shared" ref="G1687:K1687" si="1100">G1686-G1688</f>
        <v>3.9703938013230595</v>
      </c>
      <c r="H1687" s="1">
        <f t="shared" si="1100"/>
        <v>3.5488879566578495</v>
      </c>
      <c r="I1687" s="1">
        <f t="shared" si="1100"/>
        <v>2.7997423528998495</v>
      </c>
      <c r="J1687" s="1">
        <f t="shared" si="1100"/>
        <v>1.5143933534602168</v>
      </c>
      <c r="K1687" s="1">
        <f t="shared" si="1100"/>
        <v>-0.35516072423701406</v>
      </c>
    </row>
    <row r="1688" spans="2:11" x14ac:dyDescent="0.35">
      <c r="B1688" t="str">
        <f t="shared" si="1097"/>
        <v>SPS1</v>
      </c>
      <c r="C1688" t="str">
        <f t="shared" si="1098"/>
        <v>CH</v>
      </c>
      <c r="D1688" t="s">
        <v>1714</v>
      </c>
      <c r="E1688" t="str">
        <f t="shared" si="1099"/>
        <v>Mt/yr.</v>
      </c>
      <c r="F1688" s="1" cm="1">
        <f t="array" ref="F1688">SUMPRODUCT(ISNUMBER(SEARCH("processco2",[1]OUT_CO2_emissions!$D$3:$D$1000))*1,("var_fout"=[1]OUT_CO2_emissions!$C$3:$C$1000)*1,("CO2"=[1]OUT_CO2_emissions!$B$3:$B$1000)*1,[1]OUT_CO2_emissions!E$3:E$1000)/1000</f>
        <v>2.0893468004846398</v>
      </c>
      <c r="G1688" s="1" cm="1">
        <f t="array" ref="G1688">SUMPRODUCT(ISNUMBER(SEARCH("processco2",[1]OUT_CO2_emissions!$D$3:$D$1000))*1,("var_fout"=[1]OUT_CO2_emissions!$C$3:$C$1000)*1,("CO2"=[1]OUT_CO2_emissions!$B$3:$B$1000)*1,[1]OUT_CO2_emissions!F$3:F$1000)/1000</f>
        <v>2.1110131698740804</v>
      </c>
      <c r="H1688" s="1" cm="1">
        <f t="array" ref="H1688">SUMPRODUCT(ISNUMBER(SEARCH("processco2",[1]OUT_CO2_emissions!$D$3:$D$1000))*1,("var_fout"=[1]OUT_CO2_emissions!$C$3:$C$1000)*1,("CO2"=[1]OUT_CO2_emissions!$B$3:$B$1000)*1,[1]OUT_CO2_emissions!G$3:G$1000)/1000</f>
        <v>2.1022694710612599</v>
      </c>
      <c r="I1688" s="1" cm="1">
        <f t="array" ref="I1688">SUMPRODUCT(ISNUMBER(SEARCH("processco2",[1]OUT_CO2_emissions!$D$3:$D$1000))*1,("var_fout"=[1]OUT_CO2_emissions!$C$3:$C$1000)*1,("CO2"=[1]OUT_CO2_emissions!$B$3:$B$1000)*1,[1]OUT_CO2_emissions!H$3:H$1000)/1000</f>
        <v>2.0936573221219299</v>
      </c>
      <c r="J1688" s="1" cm="1">
        <f t="array" ref="J1688">SUMPRODUCT(ISNUMBER(SEARCH("processco2",[1]OUT_CO2_emissions!$D$3:$D$1000))*1,("var_fout"=[1]OUT_CO2_emissions!$C$3:$C$1000)*1,("CO2"=[1]OUT_CO2_emissions!$B$3:$B$1000)*1,[1]OUT_CO2_emissions!I$3:I$1000)/1000</f>
        <v>2.0773806031080957</v>
      </c>
      <c r="K1688" s="1" cm="1">
        <f t="array" ref="K1688">SUMPRODUCT(ISNUMBER(SEARCH("processco2",[1]OUT_CO2_emissions!$D$3:$D$1000))*1,("var_fout"=[1]OUT_CO2_emissions!$C$3:$C$1000)*1,("CO2"=[1]OUT_CO2_emissions!$B$3:$B$1000)*1,[1]OUT_CO2_emissions!J$3:J$1000)/1000</f>
        <v>1.0318618671170903</v>
      </c>
    </row>
    <row r="1689" spans="2:11" x14ac:dyDescent="0.35">
      <c r="B1689" t="str">
        <f t="shared" si="1097"/>
        <v>SPS1</v>
      </c>
      <c r="C1689" t="str">
        <f t="shared" si="1098"/>
        <v>CH</v>
      </c>
      <c r="D1689" t="s">
        <v>1706</v>
      </c>
      <c r="E1689" t="str">
        <f t="shared" si="1099"/>
        <v>Mt/yr.</v>
      </c>
      <c r="F1689" s="1">
        <f>[1]Summary!B56</f>
        <v>3.7898022998062397</v>
      </c>
      <c r="G1689" s="1">
        <f>[1]Summary!C56</f>
        <v>3.5264914258385596</v>
      </c>
      <c r="H1689" s="1">
        <f>[1]Summary!D56</f>
        <v>3.19064694590997</v>
      </c>
      <c r="I1689" s="1">
        <f>[1]Summary!E56</f>
        <v>1.9164093983372841</v>
      </c>
      <c r="J1689" s="1">
        <f>[1]Summary!F56</f>
        <v>0.62113170439771392</v>
      </c>
      <c r="K1689" s="1">
        <f>[1]Summary!G56</f>
        <v>0.18952021302668443</v>
      </c>
    </row>
    <row r="1690" spans="2:11" x14ac:dyDescent="0.35">
      <c r="B1690" t="str">
        <f t="shared" si="1097"/>
        <v>SPS1</v>
      </c>
      <c r="C1690" t="str">
        <f t="shared" si="1098"/>
        <v>CH</v>
      </c>
      <c r="D1690" t="s">
        <v>1707</v>
      </c>
      <c r="E1690" t="str">
        <f t="shared" si="1099"/>
        <v>Mt/yr.</v>
      </c>
      <c r="F1690" s="1">
        <f>[1]Summary!B57</f>
        <v>7.1746702636243826</v>
      </c>
      <c r="G1690" s="1">
        <f>[1]Summary!C57</f>
        <v>6.4759736098697447</v>
      </c>
      <c r="H1690" s="1">
        <f>[1]Summary!D57</f>
        <v>6.2421016937238125</v>
      </c>
      <c r="I1690" s="1">
        <f>[1]Summary!E57</f>
        <v>3.6207270378257017</v>
      </c>
      <c r="J1690" s="1">
        <f>[1]Summary!F57</f>
        <v>1.1395732675129799</v>
      </c>
      <c r="K1690" s="1">
        <f>[1]Summary!G57</f>
        <v>0.45076338078938105</v>
      </c>
    </row>
    <row r="1691" spans="2:11" x14ac:dyDescent="0.35">
      <c r="B1691" t="str">
        <f t="shared" si="1097"/>
        <v>SPS1</v>
      </c>
      <c r="C1691" t="str">
        <f t="shared" si="1098"/>
        <v>CH</v>
      </c>
      <c r="D1691" t="s">
        <v>1708</v>
      </c>
      <c r="E1691" t="str">
        <f t="shared" si="1099"/>
        <v>Mt/yr.</v>
      </c>
      <c r="F1691" s="1">
        <f>[1]Summary!B58</f>
        <v>14.549147191219284</v>
      </c>
      <c r="G1691" s="1">
        <f>[1]Summary!C58</f>
        <v>13.911943139570745</v>
      </c>
      <c r="H1691" s="1">
        <f>[1]Summary!D58</f>
        <v>12.546141526414958</v>
      </c>
      <c r="I1691" s="1">
        <f>[1]Summary!E58</f>
        <v>8.2266244154996766</v>
      </c>
      <c r="J1691" s="1">
        <f>[1]Summary!F58</f>
        <v>2.7431564135513753</v>
      </c>
      <c r="K1691" s="1">
        <f>[1]Summary!G58</f>
        <v>1.4360109399416392E-2</v>
      </c>
    </row>
    <row r="1692" spans="2:11" x14ac:dyDescent="0.35">
      <c r="B1692" t="str">
        <f t="shared" si="1097"/>
        <v>SPS1</v>
      </c>
      <c r="C1692" t="str">
        <f t="shared" si="1098"/>
        <v>CH</v>
      </c>
      <c r="D1692" t="s">
        <v>1709</v>
      </c>
      <c r="E1692" t="str">
        <f t="shared" si="1099"/>
        <v>Mt/yr.</v>
      </c>
      <c r="F1692" s="1">
        <f>-[1]Summary!B59</f>
        <v>0</v>
      </c>
      <c r="G1692" s="1">
        <f>-[1]Summary!C59</f>
        <v>0</v>
      </c>
      <c r="H1692" s="1">
        <f>-[1]Summary!D59</f>
        <v>0</v>
      </c>
      <c r="I1692" s="1">
        <f>-[1]Summary!E59</f>
        <v>0</v>
      </c>
      <c r="J1692" s="1">
        <f>-[1]Summary!F59</f>
        <v>1.4314936314106035</v>
      </c>
      <c r="K1692" s="1">
        <f>-[1]Summary!G59</f>
        <v>2.2526261206462537</v>
      </c>
    </row>
    <row r="1693" spans="2:11" x14ac:dyDescent="0.35">
      <c r="B1693" t="str">
        <f t="shared" si="1097"/>
        <v>SPS1</v>
      </c>
      <c r="C1693" t="str">
        <f t="shared" si="1098"/>
        <v>CH</v>
      </c>
      <c r="D1693" t="s">
        <v>1710</v>
      </c>
      <c r="E1693" t="str">
        <f t="shared" si="1099"/>
        <v>Mt/yr.</v>
      </c>
      <c r="F1693" s="1">
        <f>-[1]Summary!B60</f>
        <v>0</v>
      </c>
      <c r="G1693" s="1">
        <f>-[1]Summary!C60</f>
        <v>0</v>
      </c>
      <c r="H1693" s="1">
        <f>-[1]Summary!D60</f>
        <v>0</v>
      </c>
      <c r="I1693" s="1">
        <f>-[1]Summary!E60</f>
        <v>0</v>
      </c>
      <c r="J1693" s="1">
        <f>-[1]Summary!F60</f>
        <v>0.45980559407940019</v>
      </c>
      <c r="K1693" s="1">
        <f>-[1]Summary!G60</f>
        <v>2.4890729752114287</v>
      </c>
    </row>
    <row r="1694" spans="2:11" x14ac:dyDescent="0.35">
      <c r="B1694" t="str">
        <f t="shared" si="1097"/>
        <v>SPS1</v>
      </c>
      <c r="C1694" t="str">
        <f t="shared" si="1098"/>
        <v>CH</v>
      </c>
      <c r="D1694" t="s">
        <v>1711</v>
      </c>
      <c r="E1694" t="str">
        <f t="shared" si="1099"/>
        <v>Mt/yr.</v>
      </c>
      <c r="F1694" s="1">
        <f>-[1]Summary!B61</f>
        <v>0</v>
      </c>
      <c r="G1694" s="1">
        <f>-[1]Summary!C61</f>
        <v>0</v>
      </c>
      <c r="H1694" s="1">
        <f>-[1]Summary!D61</f>
        <v>0</v>
      </c>
      <c r="I1694" s="1">
        <f>-[1]Summary!E61</f>
        <v>0</v>
      </c>
      <c r="J1694" s="1">
        <f>-[1]Summary!F61</f>
        <v>0</v>
      </c>
      <c r="K1694" s="1">
        <f>-[1]Summary!G61</f>
        <v>0.985779355754964</v>
      </c>
    </row>
    <row r="1695" spans="2:11" x14ac:dyDescent="0.35">
      <c r="B1695" t="str">
        <f t="shared" si="1097"/>
        <v>SPS1</v>
      </c>
      <c r="C1695" t="str">
        <f t="shared" si="1098"/>
        <v>CH</v>
      </c>
      <c r="D1695" t="s">
        <v>1712</v>
      </c>
      <c r="E1695" t="str">
        <f t="shared" si="1099"/>
        <v>Mt/yr.</v>
      </c>
      <c r="F1695" s="1">
        <f>-[1]Summary!B62</f>
        <v>0</v>
      </c>
      <c r="G1695" s="1">
        <f>-[1]Summary!C62</f>
        <v>0</v>
      </c>
      <c r="H1695" s="1">
        <f>-[1]Summary!D62</f>
        <v>0</v>
      </c>
      <c r="I1695" s="1">
        <f>-[1]Summary!E62</f>
        <v>0</v>
      </c>
      <c r="J1695" s="1">
        <f>-[1]Summary!F62</f>
        <v>2.5602116254506859E-5</v>
      </c>
      <c r="K1695" s="1">
        <f>-[1]Summary!G62</f>
        <v>0.44488898202366073</v>
      </c>
    </row>
    <row r="1696" spans="2:11" x14ac:dyDescent="0.35">
      <c r="B1696" t="str">
        <f t="shared" si="1097"/>
        <v>SPS1</v>
      </c>
      <c r="C1696" t="str">
        <f t="shared" si="1098"/>
        <v>CH</v>
      </c>
      <c r="D1696" t="s">
        <v>1713</v>
      </c>
      <c r="E1696" t="str">
        <f t="shared" si="1099"/>
        <v>Mt/yr.</v>
      </c>
      <c r="F1696" s="1">
        <f>-[1]Summary!B63</f>
        <v>0</v>
      </c>
      <c r="G1696" s="1">
        <f>-[1]Summary!C63</f>
        <v>0</v>
      </c>
      <c r="H1696" s="1">
        <f>-[1]Summary!D63</f>
        <v>0</v>
      </c>
      <c r="I1696" s="1">
        <f>-[1]Summary!E63</f>
        <v>0</v>
      </c>
      <c r="J1696" s="1">
        <f>-[1]Summary!F63</f>
        <v>2.8106686053595519E-6</v>
      </c>
      <c r="K1696" s="1">
        <f>-[1]Summary!G63</f>
        <v>9.9542328361672539E-6</v>
      </c>
    </row>
    <row r="1697" spans="2:11" x14ac:dyDescent="0.35">
      <c r="B1697" s="2" t="str">
        <f>B1696</f>
        <v>SPS1</v>
      </c>
      <c r="C1697" s="2" t="str">
        <f>C1696</f>
        <v>CH</v>
      </c>
      <c r="D1697" s="2" t="s">
        <v>1716</v>
      </c>
      <c r="E1697" s="2" t="s">
        <v>442</v>
      </c>
      <c r="F1697" s="3">
        <f>SUM(F1698:F1700)</f>
        <v>0</v>
      </c>
      <c r="G1697" s="3">
        <f t="shared" ref="G1697:K1697" si="1101">SUM(G1698:G1700)</f>
        <v>0</v>
      </c>
      <c r="H1697" s="3">
        <f t="shared" si="1101"/>
        <v>0</v>
      </c>
      <c r="I1697" s="3">
        <f t="shared" si="1101"/>
        <v>0</v>
      </c>
      <c r="J1697" s="3">
        <f t="shared" si="1101"/>
        <v>1.891297446949171</v>
      </c>
      <c r="K1697" s="3">
        <f t="shared" si="1101"/>
        <v>6.1723407126659957</v>
      </c>
    </row>
    <row r="1698" spans="2:11" x14ac:dyDescent="0.35">
      <c r="B1698" t="str">
        <f>B1697</f>
        <v>SPS1</v>
      </c>
      <c r="C1698" t="str">
        <f>C1697</f>
        <v>CH</v>
      </c>
      <c r="D1698" t="s">
        <v>1717</v>
      </c>
      <c r="E1698" t="str">
        <f>E1697</f>
        <v>Mt/yr.</v>
      </c>
      <c r="F1698" s="1">
        <v>0</v>
      </c>
      <c r="G1698" s="1">
        <v>0</v>
      </c>
      <c r="H1698" s="1">
        <v>0</v>
      </c>
      <c r="I1698" s="1">
        <v>0</v>
      </c>
      <c r="J1698" s="1">
        <f>[1]Summary!B$77</f>
        <v>0.8333415217538982</v>
      </c>
      <c r="K1698" s="1">
        <f>[1]Summary!C$77</f>
        <v>1.9047648029305309</v>
      </c>
    </row>
    <row r="1699" spans="2:11" x14ac:dyDescent="0.35">
      <c r="B1699" t="str">
        <f t="shared" ref="B1699:B1700" si="1102">B1698</f>
        <v>SPS1</v>
      </c>
      <c r="C1699" t="str">
        <f t="shared" ref="C1699:C1700" si="1103">C1698</f>
        <v>CH</v>
      </c>
      <c r="D1699" t="s">
        <v>1718</v>
      </c>
      <c r="E1699" t="str">
        <f>E1698</f>
        <v>Mt/yr.</v>
      </c>
      <c r="F1699" s="1">
        <v>0</v>
      </c>
      <c r="G1699" s="1">
        <v>0</v>
      </c>
      <c r="H1699" s="1">
        <v>0</v>
      </c>
      <c r="I1699" s="1">
        <v>0</v>
      </c>
      <c r="J1699" s="1">
        <f>[1]Summary!B$78</f>
        <v>6.9207605986136095E-2</v>
      </c>
      <c r="K1699" s="1">
        <f>[1]Summary!C$78</f>
        <v>1.4351660154992884E-2</v>
      </c>
    </row>
    <row r="1700" spans="2:11" x14ac:dyDescent="0.35">
      <c r="B1700" t="str">
        <f t="shared" si="1102"/>
        <v>SPS1</v>
      </c>
      <c r="C1700" t="str">
        <f t="shared" si="1103"/>
        <v>CH</v>
      </c>
      <c r="D1700" t="s">
        <v>1719</v>
      </c>
      <c r="E1700" t="str">
        <f>E1699</f>
        <v>Mt/yr.</v>
      </c>
      <c r="F1700" s="1">
        <v>0</v>
      </c>
      <c r="G1700" s="1">
        <v>0</v>
      </c>
      <c r="H1700" s="1">
        <v>0</v>
      </c>
      <c r="I1700" s="1">
        <v>0</v>
      </c>
      <c r="J1700" s="1">
        <f>[1]Summary!B$79</f>
        <v>0.98874831920913675</v>
      </c>
      <c r="K1700" s="1">
        <f>[1]Summary!C$79</f>
        <v>4.2532242495804722</v>
      </c>
    </row>
    <row r="1701" spans="2:11" x14ac:dyDescent="0.35">
      <c r="B1701" s="2" t="str">
        <f t="shared" ref="B1701:C1706" si="1104">B1700</f>
        <v>SPS1</v>
      </c>
      <c r="C1701" s="2" t="str">
        <f t="shared" si="1104"/>
        <v>CH</v>
      </c>
      <c r="D1701" s="2" t="s">
        <v>1721</v>
      </c>
      <c r="E1701" s="21" t="s">
        <v>292</v>
      </c>
      <c r="F1701" s="21" t="s">
        <v>292</v>
      </c>
      <c r="G1701" s="21" t="s">
        <v>292</v>
      </c>
      <c r="H1701" s="21" t="s">
        <v>292</v>
      </c>
      <c r="I1701" s="21" t="s">
        <v>292</v>
      </c>
      <c r="J1701" s="21" t="s">
        <v>292</v>
      </c>
      <c r="K1701" s="21" t="s">
        <v>292</v>
      </c>
    </row>
    <row r="1702" spans="2:11" x14ac:dyDescent="0.35">
      <c r="B1702" t="str">
        <f t="shared" si="1104"/>
        <v>SPS1</v>
      </c>
      <c r="C1702" t="str">
        <f t="shared" si="1104"/>
        <v>CH</v>
      </c>
      <c r="D1702" t="s">
        <v>1724</v>
      </c>
      <c r="E1702" t="s">
        <v>8</v>
      </c>
      <c r="F1702" s="1">
        <f>SUM(F1703:F1704)</f>
        <v>0</v>
      </c>
      <c r="G1702" s="1">
        <f t="shared" ref="G1702:K1702" si="1105">SUM(G1703:G1704)</f>
        <v>0</v>
      </c>
      <c r="H1702" s="1">
        <f t="shared" si="1105"/>
        <v>0</v>
      </c>
      <c r="I1702" s="1">
        <f t="shared" si="1105"/>
        <v>0</v>
      </c>
      <c r="J1702" s="1">
        <f t="shared" si="1105"/>
        <v>2.2586102865013887E-5</v>
      </c>
      <c r="K1702" s="1">
        <f t="shared" si="1105"/>
        <v>7.250434740061428E-5</v>
      </c>
    </row>
    <row r="1703" spans="2:11" x14ac:dyDescent="0.35">
      <c r="B1703" t="str">
        <f t="shared" si="1104"/>
        <v>SPS1</v>
      </c>
      <c r="C1703" t="str">
        <f t="shared" si="1104"/>
        <v>CH</v>
      </c>
      <c r="D1703" t="s">
        <v>1725</v>
      </c>
      <c r="E1703" t="s">
        <v>8</v>
      </c>
      <c r="F1703" s="1" cm="1">
        <f t="array" ref="F1703">SUMPRODUCT(("SUP_DAC"=[1]OUT_SyntheticFuels!$C$1:$C$1000)*1,("Var_Fin"=[1]OUT_SyntheticFuels!$B$1:$B$1000)*1,ISNUMBER(SEARCH("ELC",[1]OUT_SyntheticFuels!$A$1:$A$1000))*1,[1]OUT_SyntheticFuels!E$1:E$1000)</f>
        <v>0</v>
      </c>
      <c r="G1703" s="1" cm="1">
        <f t="array" ref="G1703">SUMPRODUCT(("SUP_DAC"=[1]OUT_SyntheticFuels!$C$1:$C$1000)*1,("Var_Fin"=[1]OUT_SyntheticFuels!$B$1:$B$1000)*1,ISNUMBER(SEARCH("ELC",[1]OUT_SyntheticFuels!$A$1:$A$1000))*1,[1]OUT_SyntheticFuels!F$1:F$1000)</f>
        <v>0</v>
      </c>
      <c r="H1703" s="1" cm="1">
        <f t="array" ref="H1703">SUMPRODUCT(("SUP_DAC"=[1]OUT_SyntheticFuels!$C$1:$C$1000)*1,("Var_Fin"=[1]OUT_SyntheticFuels!$B$1:$B$1000)*1,ISNUMBER(SEARCH("ELC",[1]OUT_SyntheticFuels!$A$1:$A$1000))*1,[1]OUT_SyntheticFuels!G$1:G$1000)</f>
        <v>0</v>
      </c>
      <c r="I1703" s="1" cm="1">
        <f t="array" ref="I1703">SUMPRODUCT(("SUP_DAC"=[1]OUT_SyntheticFuels!$C$1:$C$1000)*1,("Var_Fin"=[1]OUT_SyntheticFuels!$B$1:$B$1000)*1,ISNUMBER(SEARCH("ELC",[1]OUT_SyntheticFuels!$A$1:$A$1000))*1,[1]OUT_SyntheticFuels!H$1:H$1000)</f>
        <v>0</v>
      </c>
      <c r="J1703" s="1" cm="1">
        <f t="array" ref="J1703">SUMPRODUCT(("SUP_DAC"=[1]OUT_SyntheticFuels!$C$1:$C$1000)*1,("Var_Fin"=[1]OUT_SyntheticFuels!$B$1:$B$1000)*1,ISNUMBER(SEARCH("ELC",[1]OUT_SyntheticFuels!$A$1:$A$1000))*1,[1]OUT_SyntheticFuels!I$1:I$1000)</f>
        <v>3.8974604660985768E-6</v>
      </c>
      <c r="K1703" s="1" cm="1">
        <f t="array" ref="K1703">SUMPRODUCT(("SUP_DAC"=[1]OUT_SyntheticFuels!$C$1:$C$1000)*1,("Var_Fin"=[1]OUT_SyntheticFuels!$B$1:$B$1000)*1,ISNUMBER(SEARCH("ELC",[1]OUT_SyntheticFuels!$A$1:$A$1000))*1,[1]OUT_SyntheticFuels!J$1:J$1000)</f>
        <v>9.0583518809121955E-6</v>
      </c>
    </row>
    <row r="1704" spans="2:11" x14ac:dyDescent="0.35">
      <c r="B1704" t="str">
        <f t="shared" si="1104"/>
        <v>SPS1</v>
      </c>
      <c r="C1704" t="str">
        <f t="shared" si="1104"/>
        <v>CH</v>
      </c>
      <c r="D1704" t="s">
        <v>1726</v>
      </c>
      <c r="E1704" t="s">
        <v>8</v>
      </c>
      <c r="F1704" s="1" cm="1">
        <f t="array" ref="F1704">SUMPRODUCT(("SUP_DAC"=[1]OUT_SyntheticFuels!$C$1:$C$1000)*1,("Var_Fin"=[1]OUT_SyntheticFuels!$B$1:$B$1000)*1,ISNUMBER(SEARCH("HEAT",[1]OUT_SyntheticFuels!$A$1:$A$1000))*1,[1]OUT_SyntheticFuels!E$1:E$1000)</f>
        <v>0</v>
      </c>
      <c r="G1704" s="1" cm="1">
        <f t="array" ref="G1704">SUMPRODUCT(("SUP_DAC"=[1]OUT_SyntheticFuels!$C$1:$C$1000)*1,("Var_Fin"=[1]OUT_SyntheticFuels!$B$1:$B$1000)*1,ISNUMBER(SEARCH("HEAT",[1]OUT_SyntheticFuels!$A$1:$A$1000))*1,[1]OUT_SyntheticFuels!F$1:F$1000)</f>
        <v>0</v>
      </c>
      <c r="H1704" s="1" cm="1">
        <f t="array" ref="H1704">SUMPRODUCT(("SUP_DAC"=[1]OUT_SyntheticFuels!$C$1:$C$1000)*1,("Var_Fin"=[1]OUT_SyntheticFuels!$B$1:$B$1000)*1,ISNUMBER(SEARCH("HEAT",[1]OUT_SyntheticFuels!$A$1:$A$1000))*1,[1]OUT_SyntheticFuels!G$1:G$1000)</f>
        <v>0</v>
      </c>
      <c r="I1704" s="1" cm="1">
        <f t="array" ref="I1704">SUMPRODUCT(("SUP_DAC"=[1]OUT_SyntheticFuels!$C$1:$C$1000)*1,("Var_Fin"=[1]OUT_SyntheticFuels!$B$1:$B$1000)*1,ISNUMBER(SEARCH("HEAT",[1]OUT_SyntheticFuels!$A$1:$A$1000))*1,[1]OUT_SyntheticFuels!H$1:H$1000)</f>
        <v>0</v>
      </c>
      <c r="J1704" s="1" cm="1">
        <f t="array" ref="J1704">SUMPRODUCT(("SUP_DAC"=[1]OUT_SyntheticFuels!$C$1:$C$1000)*1,("Var_Fin"=[1]OUT_SyntheticFuels!$B$1:$B$1000)*1,ISNUMBER(SEARCH("HEAT",[1]OUT_SyntheticFuels!$A$1:$A$1000))*1,[1]OUT_SyntheticFuels!I$1:I$1000)</f>
        <v>1.8688642398915311E-5</v>
      </c>
      <c r="K1704" s="1" cm="1">
        <f t="array" ref="K1704">SUMPRODUCT(("SUP_DAC"=[1]OUT_SyntheticFuels!$C$1:$C$1000)*1,("Var_Fin"=[1]OUT_SyntheticFuels!$B$1:$B$1000)*1,ISNUMBER(SEARCH("HEAT",[1]OUT_SyntheticFuels!$A$1:$A$1000))*1,[1]OUT_SyntheticFuels!J$1:J$1000)</f>
        <v>6.3445995519702088E-5</v>
      </c>
    </row>
    <row r="1705" spans="2:11" x14ac:dyDescent="0.35">
      <c r="B1705" t="str">
        <f t="shared" si="1104"/>
        <v>SPS1</v>
      </c>
      <c r="C1705" t="str">
        <f t="shared" si="1104"/>
        <v>CH</v>
      </c>
      <c r="D1705" t="s">
        <v>1727</v>
      </c>
      <c r="E1705" t="s">
        <v>442</v>
      </c>
      <c r="F1705" s="1">
        <f>F1696</f>
        <v>0</v>
      </c>
      <c r="G1705" s="1">
        <f t="shared" ref="G1705:K1705" si="1106">G1696</f>
        <v>0</v>
      </c>
      <c r="H1705" s="1">
        <f t="shared" si="1106"/>
        <v>0</v>
      </c>
      <c r="I1705" s="1">
        <f t="shared" si="1106"/>
        <v>0</v>
      </c>
      <c r="J1705" s="1">
        <f t="shared" si="1106"/>
        <v>2.8106686053595519E-6</v>
      </c>
      <c r="K1705" s="1">
        <f t="shared" si="1106"/>
        <v>9.9542328361672539E-6</v>
      </c>
    </row>
    <row r="1706" spans="2:11" x14ac:dyDescent="0.35">
      <c r="B1706" s="2" t="str">
        <f t="shared" si="1104"/>
        <v>SPS1</v>
      </c>
      <c r="C1706" s="2" t="str">
        <f t="shared" si="1104"/>
        <v>CH</v>
      </c>
      <c r="D1706" s="2" t="s">
        <v>1769</v>
      </c>
      <c r="E1706" s="2" t="s">
        <v>8</v>
      </c>
      <c r="F1706" s="3">
        <f>SUM(F1707:F1708,F1725,F1734:F1735,F1736,F1737,F1742,F1745,,F1750:F1753,F1746)</f>
        <v>962.45199921580638</v>
      </c>
      <c r="G1706" s="3">
        <f t="shared" ref="G1706:K1706" si="1107">SUM(G1707:G1708,G1725,G1734:G1735,G1736,G1737,G1742,G1745,,G1750:G1753,G1746)</f>
        <v>960.18683043531246</v>
      </c>
      <c r="H1706" s="3">
        <f t="shared" si="1107"/>
        <v>943.3736734017175</v>
      </c>
      <c r="I1706" s="3">
        <f t="shared" si="1107"/>
        <v>837.6466060585052</v>
      </c>
      <c r="J1706" s="3">
        <f t="shared" si="1107"/>
        <v>703.66794529882816</v>
      </c>
      <c r="K1706" s="3">
        <f t="shared" si="1107"/>
        <v>681.1194543162801</v>
      </c>
    </row>
    <row r="1707" spans="2:11" x14ac:dyDescent="0.35">
      <c r="B1707" t="str">
        <f>B1706</f>
        <v>SPS1</v>
      </c>
      <c r="C1707" t="str">
        <f t="shared" ref="C1707" si="1108">C1706</f>
        <v>CH</v>
      </c>
      <c r="D1707" t="s">
        <v>1739</v>
      </c>
      <c r="E1707" t="str">
        <f>E1706</f>
        <v>PJ/yr.</v>
      </c>
      <c r="F1707" s="1">
        <f>F21</f>
        <v>3.6600322020762137</v>
      </c>
      <c r="G1707" s="1">
        <f t="shared" ref="G1707:K1707" si="1109">G21</f>
        <v>3.5647257016561915</v>
      </c>
      <c r="H1707" s="1">
        <f t="shared" si="1109"/>
        <v>1.1321145706533571</v>
      </c>
      <c r="I1707" s="1">
        <f t="shared" si="1109"/>
        <v>6.3467884236475527E-4</v>
      </c>
      <c r="J1707" s="1">
        <f t="shared" si="1109"/>
        <v>6.4807298563390541E-4</v>
      </c>
      <c r="K1707" s="1">
        <f t="shared" si="1109"/>
        <v>2.0141315688538322E-4</v>
      </c>
    </row>
    <row r="1708" spans="2:11" x14ac:dyDescent="0.35">
      <c r="B1708" t="str">
        <f t="shared" ref="B1708:B1760" si="1110">B1707</f>
        <v>SPS1</v>
      </c>
      <c r="C1708" t="str">
        <f t="shared" ref="C1708:C1760" si="1111">C1707</f>
        <v>CH</v>
      </c>
      <c r="D1708" t="s">
        <v>1740</v>
      </c>
      <c r="E1708" t="str">
        <f t="shared" ref="E1708:E1736" si="1112">E1707</f>
        <v>PJ/yr.</v>
      </c>
      <c r="F1708" s="1">
        <f t="shared" ref="F1708:K1734" si="1113">F22</f>
        <v>310.61461723141309</v>
      </c>
      <c r="G1708" s="1">
        <f t="shared" si="1113"/>
        <v>287.69093209077914</v>
      </c>
      <c r="H1708" s="1">
        <f t="shared" si="1113"/>
        <v>260.04931432090808</v>
      </c>
      <c r="I1708" s="1">
        <f t="shared" si="1113"/>
        <v>166.20486994475289</v>
      </c>
      <c r="J1708" s="1">
        <f t="shared" si="1113"/>
        <v>81.697366099731624</v>
      </c>
      <c r="K1708" s="1">
        <f t="shared" si="1113"/>
        <v>93.80717600240115</v>
      </c>
    </row>
    <row r="1709" spans="2:11" x14ac:dyDescent="0.35">
      <c r="B1709" t="str">
        <f t="shared" si="1110"/>
        <v>SPS1</v>
      </c>
      <c r="C1709" t="str">
        <f t="shared" si="1111"/>
        <v>CH</v>
      </c>
      <c r="D1709" t="s">
        <v>1741</v>
      </c>
      <c r="E1709" t="str">
        <f t="shared" si="1112"/>
        <v>PJ/yr.</v>
      </c>
      <c r="F1709" s="1">
        <f t="shared" si="1113"/>
        <v>303.84515526760543</v>
      </c>
      <c r="G1709" s="1">
        <f t="shared" si="1113"/>
        <v>280.92019948736265</v>
      </c>
      <c r="H1709" s="1">
        <f t="shared" si="1113"/>
        <v>252.41450638367684</v>
      </c>
      <c r="I1709" s="1">
        <f t="shared" si="1113"/>
        <v>154.58538729650715</v>
      </c>
      <c r="J1709" s="1">
        <f t="shared" si="1113"/>
        <v>48.138290533779646</v>
      </c>
      <c r="K1709" s="1">
        <f t="shared" si="1113"/>
        <v>0</v>
      </c>
    </row>
    <row r="1710" spans="2:11" x14ac:dyDescent="0.35">
      <c r="B1710" t="str">
        <f t="shared" si="1110"/>
        <v>SPS1</v>
      </c>
      <c r="C1710" t="str">
        <f t="shared" si="1111"/>
        <v>CH</v>
      </c>
      <c r="D1710" t="s">
        <v>1742</v>
      </c>
      <c r="E1710" t="str">
        <f t="shared" si="1112"/>
        <v>PJ/yr.</v>
      </c>
      <c r="F1710" s="1">
        <f t="shared" si="1113"/>
        <v>101.73255844754223</v>
      </c>
      <c r="G1710" s="1">
        <f t="shared" si="1113"/>
        <v>88.602742320913634</v>
      </c>
      <c r="H1710" s="1">
        <f t="shared" si="1113"/>
        <v>81.913086597716372</v>
      </c>
      <c r="I1710" s="1">
        <f t="shared" si="1113"/>
        <v>42.63442450549865</v>
      </c>
      <c r="J1710" s="1">
        <f t="shared" si="1113"/>
        <v>11.500161895355838</v>
      </c>
      <c r="K1710" s="1">
        <f t="shared" si="1113"/>
        <v>0</v>
      </c>
    </row>
    <row r="1711" spans="2:11" x14ac:dyDescent="0.35">
      <c r="B1711" t="str">
        <f t="shared" si="1110"/>
        <v>SPS1</v>
      </c>
      <c r="C1711" t="str">
        <f t="shared" si="1111"/>
        <v>CH</v>
      </c>
      <c r="D1711" t="s">
        <v>1743</v>
      </c>
      <c r="E1711" t="str">
        <f t="shared" si="1112"/>
        <v>PJ/yr.</v>
      </c>
      <c r="F1711" s="1">
        <f t="shared" si="1113"/>
        <v>2.7763821187764037</v>
      </c>
      <c r="G1711" s="1">
        <f t="shared" si="1113"/>
        <v>2.3751501586315169</v>
      </c>
      <c r="H1711" s="1">
        <f t="shared" si="1113"/>
        <v>1.8391619637316433E-3</v>
      </c>
      <c r="I1711" s="1">
        <f t="shared" si="1113"/>
        <v>2.1989345504189284E-4</v>
      </c>
      <c r="J1711" s="1">
        <f t="shared" si="1113"/>
        <v>8.1853617412789518E-4</v>
      </c>
      <c r="K1711" s="1">
        <f t="shared" si="1113"/>
        <v>0</v>
      </c>
    </row>
    <row r="1712" spans="2:11" x14ac:dyDescent="0.35">
      <c r="B1712" t="str">
        <f t="shared" si="1110"/>
        <v>SPS1</v>
      </c>
      <c r="C1712" t="str">
        <f t="shared" si="1111"/>
        <v>CH</v>
      </c>
      <c r="D1712" t="s">
        <v>1744</v>
      </c>
      <c r="E1712" t="str">
        <f t="shared" si="1112"/>
        <v>PJ/yr.</v>
      </c>
      <c r="F1712" s="1">
        <f t="shared" si="1113"/>
        <v>118.35402406736033</v>
      </c>
      <c r="G1712" s="1">
        <f t="shared" si="1113"/>
        <v>112.68604364616083</v>
      </c>
      <c r="H1712" s="1">
        <f t="shared" si="1113"/>
        <v>96.829890406505726</v>
      </c>
      <c r="I1712" s="1">
        <f t="shared" si="1113"/>
        <v>66.163455855927737</v>
      </c>
      <c r="J1712" s="1">
        <f t="shared" si="1113"/>
        <v>28.971012228914109</v>
      </c>
      <c r="K1712" s="1">
        <f t="shared" si="1113"/>
        <v>0</v>
      </c>
    </row>
    <row r="1713" spans="2:11" x14ac:dyDescent="0.35">
      <c r="B1713" t="str">
        <f t="shared" si="1110"/>
        <v>SPS1</v>
      </c>
      <c r="C1713" t="str">
        <f t="shared" si="1111"/>
        <v>CH</v>
      </c>
      <c r="D1713" t="s">
        <v>1745</v>
      </c>
      <c r="E1713" t="str">
        <f t="shared" si="1112"/>
        <v>PJ/yr.</v>
      </c>
      <c r="F1713" s="1">
        <f t="shared" si="1113"/>
        <v>79.873464233713207</v>
      </c>
      <c r="G1713" s="1">
        <f t="shared" si="1113"/>
        <v>75.851064596785974</v>
      </c>
      <c r="H1713" s="1">
        <f t="shared" si="1113"/>
        <v>71.821504802293347</v>
      </c>
      <c r="I1713" s="1">
        <f t="shared" si="1113"/>
        <v>43.249198812254313</v>
      </c>
      <c r="J1713" s="1">
        <f t="shared" si="1113"/>
        <v>5.5907817605670918</v>
      </c>
      <c r="K1713" s="1">
        <f t="shared" si="1113"/>
        <v>0</v>
      </c>
    </row>
    <row r="1714" spans="2:11" x14ac:dyDescent="0.35">
      <c r="B1714" t="str">
        <f t="shared" si="1110"/>
        <v>SPS1</v>
      </c>
      <c r="C1714" t="str">
        <f t="shared" si="1111"/>
        <v>CH</v>
      </c>
      <c r="D1714" t="s">
        <v>1746</v>
      </c>
      <c r="E1714" t="str">
        <f t="shared" si="1112"/>
        <v>PJ/yr.</v>
      </c>
      <c r="F1714" s="1">
        <f t="shared" si="1113"/>
        <v>1.1087264002132173</v>
      </c>
      <c r="G1714" s="1">
        <f t="shared" si="1113"/>
        <v>1.4051987648706992</v>
      </c>
      <c r="H1714" s="1">
        <f t="shared" si="1113"/>
        <v>1.8481854151976467</v>
      </c>
      <c r="I1714" s="1">
        <f t="shared" si="1113"/>
        <v>2.5380882293713856</v>
      </c>
      <c r="J1714" s="1">
        <f t="shared" si="1113"/>
        <v>2.0755161127684851</v>
      </c>
      <c r="K1714" s="1">
        <f t="shared" si="1113"/>
        <v>0</v>
      </c>
    </row>
    <row r="1715" spans="2:11" x14ac:dyDescent="0.35">
      <c r="B1715" t="str">
        <f t="shared" si="1110"/>
        <v>SPS1</v>
      </c>
      <c r="C1715" t="str">
        <f t="shared" si="1111"/>
        <v>CH</v>
      </c>
      <c r="D1715" t="s">
        <v>1747</v>
      </c>
      <c r="E1715" t="str">
        <f t="shared" si="1112"/>
        <v>PJ/yr.</v>
      </c>
      <c r="F1715" s="1">
        <f t="shared" si="1113"/>
        <v>6.7694619638076503</v>
      </c>
      <c r="G1715" s="1">
        <f t="shared" si="1113"/>
        <v>6.7707326034164819</v>
      </c>
      <c r="H1715" s="1">
        <f t="shared" si="1113"/>
        <v>7.6348079372312281</v>
      </c>
      <c r="I1715" s="1">
        <f t="shared" si="1113"/>
        <v>11.619482648245743</v>
      </c>
      <c r="J1715" s="1">
        <f t="shared" si="1113"/>
        <v>33.559075565951971</v>
      </c>
      <c r="K1715" s="1">
        <f t="shared" si="1113"/>
        <v>93.80717600240115</v>
      </c>
    </row>
    <row r="1716" spans="2:11" x14ac:dyDescent="0.35">
      <c r="B1716" t="str">
        <f t="shared" si="1110"/>
        <v>SPS1</v>
      </c>
      <c r="C1716" t="str">
        <f t="shared" si="1111"/>
        <v>CH</v>
      </c>
      <c r="D1716" t="s">
        <v>1748</v>
      </c>
      <c r="E1716" t="str">
        <f t="shared" si="1112"/>
        <v>PJ/yr.</v>
      </c>
      <c r="F1716" s="1">
        <f t="shared" si="1113"/>
        <v>2.3353099128847892</v>
      </c>
      <c r="G1716" s="1">
        <f t="shared" si="1113"/>
        <v>2.3780137266388235</v>
      </c>
      <c r="H1716" s="1">
        <f t="shared" si="1113"/>
        <v>3.6671655986271854</v>
      </c>
      <c r="I1716" s="1">
        <f t="shared" si="1113"/>
        <v>9.113500010559747</v>
      </c>
      <c r="J1716" s="1">
        <f t="shared" si="1113"/>
        <v>30.16703569621022</v>
      </c>
      <c r="K1716" s="1">
        <f t="shared" si="1113"/>
        <v>92.890111883580829</v>
      </c>
    </row>
    <row r="1717" spans="2:11" x14ac:dyDescent="0.35">
      <c r="B1717" t="str">
        <f t="shared" si="1110"/>
        <v>SPS1</v>
      </c>
      <c r="C1717" t="str">
        <f t="shared" si="1111"/>
        <v>CH</v>
      </c>
      <c r="D1717" t="s">
        <v>1749</v>
      </c>
      <c r="E1717" t="str">
        <f t="shared" si="1112"/>
        <v>PJ/yr.</v>
      </c>
      <c r="F1717" s="1">
        <f t="shared" si="1113"/>
        <v>4.4341520509228616</v>
      </c>
      <c r="G1717" s="1">
        <f t="shared" si="1113"/>
        <v>4.3927188767776588</v>
      </c>
      <c r="H1717" s="1">
        <f t="shared" si="1113"/>
        <v>3.9676423386040431</v>
      </c>
      <c r="I1717" s="1">
        <f t="shared" si="1113"/>
        <v>2.5059826376859955</v>
      </c>
      <c r="J1717" s="1">
        <f t="shared" si="1113"/>
        <v>3.3920398697417538</v>
      </c>
      <c r="K1717" s="1">
        <f t="shared" si="1113"/>
        <v>0.91706411882031358</v>
      </c>
    </row>
    <row r="1718" spans="2:11" x14ac:dyDescent="0.35">
      <c r="B1718" t="str">
        <f t="shared" si="1110"/>
        <v>SPS1</v>
      </c>
      <c r="C1718" t="str">
        <f t="shared" si="1111"/>
        <v>CH</v>
      </c>
      <c r="D1718" t="s">
        <v>1750</v>
      </c>
      <c r="E1718" t="str">
        <f t="shared" si="1112"/>
        <v>PJ/yr.</v>
      </c>
      <c r="F1718" s="1">
        <f t="shared" si="1113"/>
        <v>6.7694619638076503</v>
      </c>
      <c r="G1718" s="1">
        <f t="shared" si="1113"/>
        <v>6.7707326034164819</v>
      </c>
      <c r="H1718" s="1">
        <f t="shared" si="1113"/>
        <v>7.6348079372312281</v>
      </c>
      <c r="I1718" s="1">
        <f t="shared" si="1113"/>
        <v>11.619482648245743</v>
      </c>
      <c r="J1718" s="1">
        <f t="shared" si="1113"/>
        <v>12.505539880301502</v>
      </c>
      <c r="K1718" s="1">
        <f t="shared" si="1113"/>
        <v>31.084099815030534</v>
      </c>
    </row>
    <row r="1719" spans="2:11" x14ac:dyDescent="0.35">
      <c r="B1719" t="str">
        <f t="shared" si="1110"/>
        <v>SPS1</v>
      </c>
      <c r="C1719" t="str">
        <f t="shared" si="1111"/>
        <v>CH</v>
      </c>
      <c r="D1719" t="s">
        <v>1751</v>
      </c>
      <c r="E1719" t="str">
        <f t="shared" si="1112"/>
        <v>PJ/yr.</v>
      </c>
      <c r="F1719" s="1">
        <f t="shared" si="1113"/>
        <v>2.3353099128847892</v>
      </c>
      <c r="G1719" s="1">
        <f t="shared" si="1113"/>
        <v>2.3780137266388235</v>
      </c>
      <c r="H1719" s="1">
        <f t="shared" si="1113"/>
        <v>3.6671655986271854</v>
      </c>
      <c r="I1719" s="1">
        <f t="shared" si="1113"/>
        <v>9.113500010559747</v>
      </c>
      <c r="J1719" s="1">
        <f t="shared" si="1113"/>
        <v>9.113500010559747</v>
      </c>
      <c r="K1719" s="1">
        <f t="shared" si="1113"/>
        <v>30.16703569621022</v>
      </c>
    </row>
    <row r="1720" spans="2:11" x14ac:dyDescent="0.35">
      <c r="B1720" t="str">
        <f t="shared" si="1110"/>
        <v>SPS1</v>
      </c>
      <c r="C1720" t="str">
        <f t="shared" si="1111"/>
        <v>CH</v>
      </c>
      <c r="D1720" t="s">
        <v>1752</v>
      </c>
      <c r="E1720" t="str">
        <f t="shared" si="1112"/>
        <v>PJ/yr.</v>
      </c>
      <c r="F1720" s="1">
        <f t="shared" si="1113"/>
        <v>4.4341520509228616</v>
      </c>
      <c r="G1720" s="1">
        <f t="shared" si="1113"/>
        <v>4.3927188767776588</v>
      </c>
      <c r="H1720" s="1">
        <f t="shared" si="1113"/>
        <v>3.9676423386040431</v>
      </c>
      <c r="I1720" s="1">
        <f t="shared" si="1113"/>
        <v>2.5059826376859955</v>
      </c>
      <c r="J1720" s="1">
        <f t="shared" si="1113"/>
        <v>3.3920398697417538</v>
      </c>
      <c r="K1720" s="1">
        <f t="shared" si="1113"/>
        <v>0.91706411882031358</v>
      </c>
    </row>
    <row r="1721" spans="2:11" x14ac:dyDescent="0.35">
      <c r="B1721" t="str">
        <f t="shared" si="1110"/>
        <v>SPS1</v>
      </c>
      <c r="C1721" t="str">
        <f t="shared" si="1111"/>
        <v>CH</v>
      </c>
      <c r="D1721" t="s">
        <v>1753</v>
      </c>
      <c r="E1721" t="str">
        <f t="shared" si="1112"/>
        <v>PJ/yr.</v>
      </c>
      <c r="F1721" s="1">
        <f t="shared" si="1113"/>
        <v>0</v>
      </c>
      <c r="G1721" s="1">
        <f t="shared" si="1113"/>
        <v>0</v>
      </c>
      <c r="H1721" s="1">
        <f t="shared" si="1113"/>
        <v>0</v>
      </c>
      <c r="I1721" s="1">
        <f t="shared" si="1113"/>
        <v>0</v>
      </c>
      <c r="J1721" s="1">
        <f t="shared" si="1113"/>
        <v>21.053535685650473</v>
      </c>
      <c r="K1721" s="1">
        <f t="shared" si="1113"/>
        <v>62.723076187370609</v>
      </c>
    </row>
    <row r="1722" spans="2:11" x14ac:dyDescent="0.35">
      <c r="B1722" t="str">
        <f t="shared" si="1110"/>
        <v>SPS1</v>
      </c>
      <c r="C1722" t="str">
        <f t="shared" si="1111"/>
        <v>CH</v>
      </c>
      <c r="D1722" t="s">
        <v>1754</v>
      </c>
      <c r="E1722" t="str">
        <f t="shared" si="1112"/>
        <v>PJ/yr.</v>
      </c>
      <c r="F1722" s="1">
        <f t="shared" si="1113"/>
        <v>0</v>
      </c>
      <c r="G1722" s="1">
        <f t="shared" si="1113"/>
        <v>0</v>
      </c>
      <c r="H1722" s="1">
        <f t="shared" si="1113"/>
        <v>0</v>
      </c>
      <c r="I1722" s="1">
        <f t="shared" si="1113"/>
        <v>0</v>
      </c>
      <c r="J1722" s="1">
        <f t="shared" si="1113"/>
        <v>21.053535685650473</v>
      </c>
      <c r="K1722" s="1">
        <f t="shared" si="1113"/>
        <v>62.723076187370609</v>
      </c>
    </row>
    <row r="1723" spans="2:11" x14ac:dyDescent="0.35">
      <c r="B1723" t="str">
        <f t="shared" si="1110"/>
        <v>SPS1</v>
      </c>
      <c r="C1723" t="str">
        <f t="shared" si="1111"/>
        <v>CH</v>
      </c>
      <c r="D1723" t="s">
        <v>1755</v>
      </c>
      <c r="E1723" t="str">
        <f t="shared" si="1112"/>
        <v>PJ/yr.</v>
      </c>
      <c r="F1723" s="1">
        <f t="shared" si="1113"/>
        <v>0</v>
      </c>
      <c r="G1723" s="1">
        <f t="shared" si="1113"/>
        <v>0</v>
      </c>
      <c r="H1723" s="1">
        <f t="shared" si="1113"/>
        <v>0</v>
      </c>
      <c r="I1723" s="1">
        <f t="shared" si="1113"/>
        <v>0</v>
      </c>
      <c r="J1723" s="1">
        <f t="shared" si="1113"/>
        <v>0</v>
      </c>
      <c r="K1723" s="1">
        <f t="shared" si="1113"/>
        <v>0</v>
      </c>
    </row>
    <row r="1724" spans="2:11" x14ac:dyDescent="0.35">
      <c r="B1724" t="str">
        <f t="shared" si="1110"/>
        <v>SPS1</v>
      </c>
      <c r="C1724" t="str">
        <f t="shared" si="1111"/>
        <v>CH</v>
      </c>
      <c r="D1724" t="s">
        <v>1756</v>
      </c>
      <c r="E1724" t="str">
        <f t="shared" si="1112"/>
        <v>PJ/yr.</v>
      </c>
      <c r="F1724" s="1">
        <f t="shared" si="1113"/>
        <v>0</v>
      </c>
      <c r="G1724" s="1">
        <f t="shared" si="1113"/>
        <v>0</v>
      </c>
      <c r="H1724" s="1">
        <f t="shared" si="1113"/>
        <v>0</v>
      </c>
      <c r="I1724" s="1">
        <f t="shared" si="1113"/>
        <v>0</v>
      </c>
      <c r="J1724" s="1">
        <f t="shared" si="1113"/>
        <v>0</v>
      </c>
      <c r="K1724" s="1">
        <f t="shared" si="1113"/>
        <v>0</v>
      </c>
    </row>
    <row r="1725" spans="2:11" x14ac:dyDescent="0.35">
      <c r="B1725" t="str">
        <f t="shared" si="1110"/>
        <v>SPS1</v>
      </c>
      <c r="C1725" t="str">
        <f t="shared" si="1111"/>
        <v>CH</v>
      </c>
      <c r="D1725" t="s">
        <v>1757</v>
      </c>
      <c r="E1725" t="str">
        <f t="shared" si="1112"/>
        <v>PJ/yr.</v>
      </c>
      <c r="F1725" s="1">
        <f t="shared" si="1113"/>
        <v>117.05288329747826</v>
      </c>
      <c r="G1725" s="1">
        <f t="shared" si="1113"/>
        <v>107.23651011627435</v>
      </c>
      <c r="H1725" s="1">
        <f t="shared" si="1113"/>
        <v>105.15249768341354</v>
      </c>
      <c r="I1725" s="1">
        <f t="shared" si="1113"/>
        <v>78.599508972509724</v>
      </c>
      <c r="J1725" s="1">
        <f t="shared" si="1113"/>
        <v>38.490101635243555</v>
      </c>
      <c r="K1725" s="1">
        <f t="shared" si="1113"/>
        <v>15.547325132393567</v>
      </c>
    </row>
    <row r="1726" spans="2:11" x14ac:dyDescent="0.35">
      <c r="B1726" t="str">
        <f t="shared" si="1110"/>
        <v>SPS1</v>
      </c>
      <c r="C1726" t="str">
        <f t="shared" si="1111"/>
        <v>CH</v>
      </c>
      <c r="D1726" t="s">
        <v>1758</v>
      </c>
      <c r="E1726" t="str">
        <f t="shared" si="1112"/>
        <v>PJ/yr.</v>
      </c>
      <c r="F1726" s="1">
        <f t="shared" si="1113"/>
        <v>117.05288329747826</v>
      </c>
      <c r="G1726" s="1">
        <f t="shared" si="1113"/>
        <v>106.72000752518665</v>
      </c>
      <c r="H1726" s="1">
        <f t="shared" si="1113"/>
        <v>103.98535361498233</v>
      </c>
      <c r="I1726" s="1">
        <f t="shared" si="1113"/>
        <v>74.232631355216441</v>
      </c>
      <c r="J1726" s="1">
        <f t="shared" si="1113"/>
        <v>34.190877214086186</v>
      </c>
      <c r="K1726" s="1">
        <f t="shared" si="1113"/>
        <v>13.411878815815761</v>
      </c>
    </row>
    <row r="1727" spans="2:11" x14ac:dyDescent="0.35">
      <c r="B1727" t="str">
        <f t="shared" si="1110"/>
        <v>SPS1</v>
      </c>
      <c r="C1727" t="str">
        <f t="shared" si="1111"/>
        <v>CH</v>
      </c>
      <c r="D1727" t="s">
        <v>1759</v>
      </c>
      <c r="E1727" t="str">
        <f t="shared" si="1112"/>
        <v>PJ/yr.</v>
      </c>
      <c r="F1727" s="1">
        <f t="shared" si="1113"/>
        <v>117.05288329747826</v>
      </c>
      <c r="G1727" s="1">
        <f t="shared" si="1113"/>
        <v>106.72000752518665</v>
      </c>
      <c r="H1727" s="1">
        <f t="shared" si="1113"/>
        <v>103.98535361498233</v>
      </c>
      <c r="I1727" s="1">
        <f t="shared" si="1113"/>
        <v>74.232389379172588</v>
      </c>
      <c r="J1727" s="1">
        <f t="shared" si="1113"/>
        <v>34.190516452258322</v>
      </c>
      <c r="K1727" s="1">
        <f t="shared" si="1113"/>
        <v>13.411513575022241</v>
      </c>
    </row>
    <row r="1728" spans="2:11" x14ac:dyDescent="0.35">
      <c r="B1728" t="str">
        <f t="shared" si="1110"/>
        <v>SPS1</v>
      </c>
      <c r="C1728" t="str">
        <f t="shared" si="1111"/>
        <v>CH</v>
      </c>
      <c r="D1728" t="s">
        <v>1760</v>
      </c>
      <c r="E1728" t="str">
        <f t="shared" si="1112"/>
        <v>PJ/yr.</v>
      </c>
      <c r="F1728" s="1">
        <f t="shared" si="1113"/>
        <v>0</v>
      </c>
      <c r="G1728" s="1">
        <f t="shared" si="1113"/>
        <v>0</v>
      </c>
      <c r="H1728" s="1">
        <f t="shared" si="1113"/>
        <v>0</v>
      </c>
      <c r="I1728" s="1">
        <f t="shared" si="1113"/>
        <v>2.4197604385534977E-4</v>
      </c>
      <c r="J1728" s="1">
        <f t="shared" si="1113"/>
        <v>3.6076182786701645E-4</v>
      </c>
      <c r="K1728" s="1">
        <f t="shared" si="1113"/>
        <v>3.6524079352102929E-4</v>
      </c>
    </row>
    <row r="1729" spans="2:11" x14ac:dyDescent="0.35">
      <c r="B1729" t="str">
        <f t="shared" si="1110"/>
        <v>SPS1</v>
      </c>
      <c r="C1729" t="str">
        <f t="shared" si="1111"/>
        <v>CH</v>
      </c>
      <c r="D1729" t="s">
        <v>1761</v>
      </c>
      <c r="E1729" t="str">
        <f t="shared" si="1112"/>
        <v>PJ/yr.</v>
      </c>
      <c r="F1729" s="1">
        <f t="shared" si="1113"/>
        <v>0</v>
      </c>
      <c r="G1729" s="1">
        <f t="shared" si="1113"/>
        <v>0.51650259108770324</v>
      </c>
      <c r="H1729" s="1">
        <f t="shared" si="1113"/>
        <v>1.16714406843122</v>
      </c>
      <c r="I1729" s="1">
        <f t="shared" si="1113"/>
        <v>4.3668776172932873</v>
      </c>
      <c r="J1729" s="1">
        <f t="shared" si="1113"/>
        <v>4.2992244211573674</v>
      </c>
      <c r="K1729" s="1">
        <f t="shared" si="1113"/>
        <v>2.1354463165778061</v>
      </c>
    </row>
    <row r="1730" spans="2:11" x14ac:dyDescent="0.35">
      <c r="B1730" t="str">
        <f t="shared" si="1110"/>
        <v>SPS1</v>
      </c>
      <c r="C1730" t="str">
        <f t="shared" si="1111"/>
        <v>CH</v>
      </c>
      <c r="D1730" t="s">
        <v>1762</v>
      </c>
      <c r="E1730" t="str">
        <f t="shared" si="1112"/>
        <v>PJ/yr.</v>
      </c>
      <c r="F1730" s="1">
        <f t="shared" si="1113"/>
        <v>0</v>
      </c>
      <c r="G1730" s="1">
        <f t="shared" si="1113"/>
        <v>0.51650259108770324</v>
      </c>
      <c r="H1730" s="1">
        <f t="shared" si="1113"/>
        <v>1.16714406843122</v>
      </c>
      <c r="I1730" s="1">
        <f t="shared" si="1113"/>
        <v>4.3668776172932873</v>
      </c>
      <c r="J1730" s="1">
        <f t="shared" si="1113"/>
        <v>4.2992244211573674</v>
      </c>
      <c r="K1730" s="1">
        <f t="shared" si="1113"/>
        <v>2.1354463165778061</v>
      </c>
    </row>
    <row r="1731" spans="2:11" x14ac:dyDescent="0.35">
      <c r="B1731" t="str">
        <f t="shared" si="1110"/>
        <v>SPS1</v>
      </c>
      <c r="C1731" t="str">
        <f t="shared" si="1111"/>
        <v>CH</v>
      </c>
      <c r="D1731" t="s">
        <v>1763</v>
      </c>
      <c r="E1731" t="str">
        <f t="shared" si="1112"/>
        <v>PJ/yr.</v>
      </c>
      <c r="F1731" s="1">
        <f t="shared" si="1113"/>
        <v>0</v>
      </c>
      <c r="G1731" s="1">
        <f t="shared" si="1113"/>
        <v>0.51650259108770324</v>
      </c>
      <c r="H1731" s="1">
        <f t="shared" si="1113"/>
        <v>1.16714406843122</v>
      </c>
      <c r="I1731" s="1">
        <f t="shared" si="1113"/>
        <v>4.3668776172932873</v>
      </c>
      <c r="J1731" s="1">
        <f t="shared" si="1113"/>
        <v>4.2992244211573674</v>
      </c>
      <c r="K1731" s="1">
        <f t="shared" si="1113"/>
        <v>2.1354463165778061</v>
      </c>
    </row>
    <row r="1732" spans="2:11" x14ac:dyDescent="0.35">
      <c r="B1732" t="str">
        <f t="shared" si="1110"/>
        <v>SPS1</v>
      </c>
      <c r="C1732" t="str">
        <f t="shared" si="1111"/>
        <v>CH</v>
      </c>
      <c r="D1732" t="s">
        <v>1764</v>
      </c>
      <c r="E1732" t="str">
        <f t="shared" si="1112"/>
        <v>PJ/yr.</v>
      </c>
      <c r="F1732" s="1">
        <f t="shared" si="1113"/>
        <v>0</v>
      </c>
      <c r="G1732" s="1">
        <f t="shared" si="1113"/>
        <v>0</v>
      </c>
      <c r="H1732" s="1">
        <f t="shared" si="1113"/>
        <v>0</v>
      </c>
      <c r="I1732" s="1">
        <f t="shared" si="1113"/>
        <v>0</v>
      </c>
      <c r="J1732" s="1">
        <f t="shared" si="1113"/>
        <v>0</v>
      </c>
      <c r="K1732" s="1">
        <f t="shared" si="1113"/>
        <v>0</v>
      </c>
    </row>
    <row r="1733" spans="2:11" x14ac:dyDescent="0.35">
      <c r="B1733" t="str">
        <f t="shared" si="1110"/>
        <v>SPS1</v>
      </c>
      <c r="C1733" t="str">
        <f t="shared" si="1111"/>
        <v>CH</v>
      </c>
      <c r="D1733" t="s">
        <v>1765</v>
      </c>
      <c r="E1733" t="str">
        <f t="shared" si="1112"/>
        <v>PJ/yr.</v>
      </c>
      <c r="F1733" s="1">
        <f t="shared" si="1113"/>
        <v>0</v>
      </c>
      <c r="G1733" s="1">
        <f t="shared" si="1113"/>
        <v>0</v>
      </c>
      <c r="H1733" s="1">
        <f t="shared" si="1113"/>
        <v>0</v>
      </c>
      <c r="I1733" s="1">
        <f t="shared" si="1113"/>
        <v>0</v>
      </c>
      <c r="J1733" s="1">
        <f t="shared" si="1113"/>
        <v>0</v>
      </c>
      <c r="K1733" s="1">
        <f t="shared" si="1113"/>
        <v>0</v>
      </c>
    </row>
    <row r="1734" spans="2:11" x14ac:dyDescent="0.35">
      <c r="B1734" t="str">
        <f t="shared" si="1110"/>
        <v>SPS1</v>
      </c>
      <c r="C1734" t="str">
        <f t="shared" si="1111"/>
        <v>CH</v>
      </c>
      <c r="D1734" t="s">
        <v>1766</v>
      </c>
      <c r="E1734" t="str">
        <f t="shared" si="1112"/>
        <v>PJ/yr.</v>
      </c>
      <c r="F1734" s="1">
        <f t="shared" si="1113"/>
        <v>250.94820788424624</v>
      </c>
      <c r="G1734" s="1">
        <f t="shared" si="1113"/>
        <v>253.30005358253649</v>
      </c>
      <c r="H1734" s="1">
        <f t="shared" si="1113"/>
        <v>206.09862823720431</v>
      </c>
      <c r="I1734" s="1">
        <f t="shared" si="1113"/>
        <v>211.90227646135531</v>
      </c>
      <c r="J1734" s="1">
        <f t="shared" si="1113"/>
        <v>98.94550646506643</v>
      </c>
      <c r="K1734" s="1">
        <f t="shared" si="1113"/>
        <v>0</v>
      </c>
    </row>
    <row r="1735" spans="2:11" x14ac:dyDescent="0.35">
      <c r="B1735" t="str">
        <f t="shared" si="1110"/>
        <v>SPS1</v>
      </c>
      <c r="C1735" t="str">
        <f t="shared" si="1111"/>
        <v>CH</v>
      </c>
      <c r="D1735" t="s">
        <v>1767</v>
      </c>
      <c r="E1735" t="str">
        <f t="shared" si="1112"/>
        <v>PJ/yr.</v>
      </c>
      <c r="F1735" s="1">
        <f>-F56+F49</f>
        <v>-20.00999726682933</v>
      </c>
      <c r="G1735" s="1">
        <f t="shared" ref="G1735:K1735" si="1114">-G56+G49</f>
        <v>14.883487899920425</v>
      </c>
      <c r="H1735" s="1">
        <f t="shared" si="1114"/>
        <v>-4.3281026969511558</v>
      </c>
      <c r="I1735" s="1">
        <f t="shared" si="1114"/>
        <v>-4.9619234083746449</v>
      </c>
      <c r="J1735" s="1">
        <f t="shared" si="1114"/>
        <v>19.895317269530782</v>
      </c>
      <c r="K1735" s="1">
        <f t="shared" si="1114"/>
        <v>16.838732543752499</v>
      </c>
    </row>
    <row r="1736" spans="2:11" x14ac:dyDescent="0.35">
      <c r="B1736" t="str">
        <f t="shared" si="1110"/>
        <v>SPS1</v>
      </c>
      <c r="C1736" t="str">
        <f t="shared" si="1111"/>
        <v>CH</v>
      </c>
      <c r="D1736" t="s">
        <v>1768</v>
      </c>
      <c r="E1736" t="str">
        <f t="shared" si="1112"/>
        <v>PJ/yr.</v>
      </c>
      <c r="F1736" s="1">
        <f>F54</f>
        <v>0</v>
      </c>
      <c r="G1736" s="1">
        <f t="shared" ref="G1736:K1736" si="1115">G54</f>
        <v>0</v>
      </c>
      <c r="H1736" s="1">
        <f t="shared" si="1115"/>
        <v>0</v>
      </c>
      <c r="I1736" s="1">
        <f t="shared" si="1115"/>
        <v>0</v>
      </c>
      <c r="J1736" s="1">
        <f t="shared" si="1115"/>
        <v>2.7929129304174021</v>
      </c>
      <c r="K1736" s="1">
        <f t="shared" si="1115"/>
        <v>2.792914887581456</v>
      </c>
    </row>
    <row r="1737" spans="2:11" x14ac:dyDescent="0.35">
      <c r="B1737" t="str">
        <f t="shared" si="1110"/>
        <v>SPS1</v>
      </c>
      <c r="C1737" t="str">
        <f t="shared" si="1111"/>
        <v>CH</v>
      </c>
      <c r="D1737" t="s">
        <v>1770</v>
      </c>
      <c r="E1737" t="str">
        <f>E3</f>
        <v>PJ/yr.</v>
      </c>
      <c r="F1737" s="1">
        <f>F3</f>
        <v>44.972463483694348</v>
      </c>
      <c r="G1737" s="1">
        <f t="shared" ref="G1737:K1737" si="1116">G3</f>
        <v>48.19049235673728</v>
      </c>
      <c r="H1737" s="1">
        <f t="shared" si="1116"/>
        <v>51.358139513412226</v>
      </c>
      <c r="I1737" s="1">
        <f t="shared" si="1116"/>
        <v>51.358169845268222</v>
      </c>
      <c r="J1737" s="1">
        <f t="shared" si="1116"/>
        <v>51.358177338066135</v>
      </c>
      <c r="K1737" s="1">
        <f t="shared" si="1116"/>
        <v>60.460982002588246</v>
      </c>
    </row>
    <row r="1738" spans="2:11" x14ac:dyDescent="0.35">
      <c r="B1738" t="str">
        <f t="shared" si="1110"/>
        <v>SPS1</v>
      </c>
      <c r="C1738" t="str">
        <f t="shared" si="1111"/>
        <v>CH</v>
      </c>
      <c r="D1738" t="s">
        <v>1771</v>
      </c>
      <c r="E1738" t="str">
        <f t="shared" ref="E1738:F1738" si="1117">E4</f>
        <v>PJ/yr.</v>
      </c>
      <c r="F1738" s="1">
        <f t="shared" si="1117"/>
        <v>11.111884108761041</v>
      </c>
      <c r="G1738" s="1">
        <f t="shared" ref="G1738:K1738" si="1118">G4</f>
        <v>11.952891359139555</v>
      </c>
      <c r="H1738" s="1">
        <f t="shared" si="1118"/>
        <v>13.214396615497654</v>
      </c>
      <c r="I1738" s="1">
        <f t="shared" si="1118"/>
        <v>15.31691415780252</v>
      </c>
      <c r="J1738" s="1">
        <f t="shared" si="1118"/>
        <v>16.266400857581051</v>
      </c>
      <c r="K1738" s="1">
        <f t="shared" si="1118"/>
        <v>16.957000263745243</v>
      </c>
    </row>
    <row r="1739" spans="2:11" x14ac:dyDescent="0.35">
      <c r="B1739" t="str">
        <f t="shared" si="1110"/>
        <v>SPS1</v>
      </c>
      <c r="C1739" t="str">
        <f t="shared" si="1111"/>
        <v>CH</v>
      </c>
      <c r="D1739" t="s">
        <v>1772</v>
      </c>
      <c r="E1739" t="str">
        <f t="shared" ref="E1739:F1739" si="1119">E5</f>
        <v>PJ/yr.</v>
      </c>
      <c r="F1739" s="1">
        <f t="shared" si="1119"/>
        <v>7.5116772163570191</v>
      </c>
      <c r="G1739" s="1">
        <f t="shared" ref="G1739:K1739" si="1120">G5</f>
        <v>7.5431492002936835</v>
      </c>
      <c r="H1739" s="1">
        <f t="shared" si="1120"/>
        <v>7.5903515468217648</v>
      </c>
      <c r="I1739" s="1">
        <f t="shared" si="1120"/>
        <v>7.6690309240460071</v>
      </c>
      <c r="J1739" s="1">
        <f t="shared" si="1120"/>
        <v>7.6690311578538273</v>
      </c>
      <c r="K1739" s="1">
        <f t="shared" si="1120"/>
        <v>7.6690330946267364</v>
      </c>
    </row>
    <row r="1740" spans="2:11" x14ac:dyDescent="0.35">
      <c r="B1740" t="str">
        <f t="shared" si="1110"/>
        <v>SPS1</v>
      </c>
      <c r="C1740" t="str">
        <f t="shared" si="1111"/>
        <v>CH</v>
      </c>
      <c r="D1740" t="s">
        <v>1773</v>
      </c>
      <c r="E1740" t="str">
        <f t="shared" ref="E1740:F1740" si="1121">E6</f>
        <v>PJ/yr.</v>
      </c>
      <c r="F1740" s="1">
        <f t="shared" si="1121"/>
        <v>3.1682510722687232</v>
      </c>
      <c r="G1740" s="1">
        <f t="shared" ref="G1740:K1740" si="1122">G6</f>
        <v>3.4956757074372615</v>
      </c>
      <c r="H1740" s="1">
        <f t="shared" si="1122"/>
        <v>3.9868180812407656</v>
      </c>
      <c r="I1740" s="1">
        <f t="shared" si="1122"/>
        <v>4.8053880242702149</v>
      </c>
      <c r="J1740" s="1">
        <f t="shared" si="1122"/>
        <v>4.8053904683061326</v>
      </c>
      <c r="K1740" s="1">
        <f t="shared" si="1122"/>
        <v>4.8053884470013726</v>
      </c>
    </row>
    <row r="1741" spans="2:11" x14ac:dyDescent="0.35">
      <c r="B1741" t="str">
        <f t="shared" si="1110"/>
        <v>SPS1</v>
      </c>
      <c r="C1741" t="str">
        <f t="shared" si="1111"/>
        <v>CH</v>
      </c>
      <c r="D1741" t="s">
        <v>1774</v>
      </c>
      <c r="E1741" t="str">
        <f t="shared" ref="E1741:F1741" si="1123">E7</f>
        <v>PJ/yr.</v>
      </c>
      <c r="F1741" s="1">
        <f t="shared" si="1123"/>
        <v>23.180651086307563</v>
      </c>
      <c r="G1741" s="1">
        <f t="shared" ref="G1741:K1741" si="1124">G7</f>
        <v>25.198776089866783</v>
      </c>
      <c r="H1741" s="1">
        <f t="shared" si="1124"/>
        <v>26.566573269852043</v>
      </c>
      <c r="I1741" s="1">
        <f t="shared" si="1124"/>
        <v>23.566836739149476</v>
      </c>
      <c r="J1741" s="1">
        <f t="shared" si="1124"/>
        <v>22.617354854325125</v>
      </c>
      <c r="K1741" s="1">
        <f t="shared" si="1124"/>
        <v>31.029560197214892</v>
      </c>
    </row>
    <row r="1742" spans="2:11" x14ac:dyDescent="0.35">
      <c r="B1742" t="str">
        <f t="shared" si="1110"/>
        <v>SPS1</v>
      </c>
      <c r="C1742" t="str">
        <f t="shared" si="1111"/>
        <v>CH</v>
      </c>
      <c r="D1742" t="s">
        <v>1775</v>
      </c>
      <c r="E1742" t="str">
        <f t="shared" ref="E1742:F1742" si="1125">E8</f>
        <v>PJ/yr.</v>
      </c>
      <c r="F1742" s="1">
        <f t="shared" si="1125"/>
        <v>70.031558427365653</v>
      </c>
      <c r="G1742" s="1">
        <f t="shared" ref="G1742:K1742" si="1126">G8</f>
        <v>70.696982549168979</v>
      </c>
      <c r="H1742" s="1">
        <f t="shared" si="1126"/>
        <v>70.304047742838037</v>
      </c>
      <c r="I1742" s="1">
        <f t="shared" si="1126"/>
        <v>71.062267989519569</v>
      </c>
      <c r="J1742" s="1">
        <f t="shared" si="1126"/>
        <v>71.18183423955557</v>
      </c>
      <c r="K1742" s="1">
        <f t="shared" si="1126"/>
        <v>71.875417162592171</v>
      </c>
    </row>
    <row r="1743" spans="2:11" x14ac:dyDescent="0.35">
      <c r="B1743" t="str">
        <f t="shared" si="1110"/>
        <v>SPS1</v>
      </c>
      <c r="C1743" t="str">
        <f t="shared" si="1111"/>
        <v>CH</v>
      </c>
      <c r="D1743" t="s">
        <v>1776</v>
      </c>
      <c r="E1743" t="str">
        <f t="shared" ref="E1743:F1743" si="1127">E9</f>
        <v>PJ/yr.</v>
      </c>
      <c r="F1743" s="1">
        <f t="shared" si="1127"/>
        <v>35.931107428734734</v>
      </c>
      <c r="G1743" s="1">
        <f t="shared" ref="G1743:K1743" si="1128">G9</f>
        <v>35.882392173046433</v>
      </c>
      <c r="H1743" s="1">
        <f t="shared" si="1128"/>
        <v>35.489453578256089</v>
      </c>
      <c r="I1743" s="1">
        <f t="shared" si="1128"/>
        <v>35.039965743155484</v>
      </c>
      <c r="J1743" s="1">
        <f t="shared" si="1128"/>
        <v>35.159477586631297</v>
      </c>
      <c r="K1743" s="1">
        <f t="shared" si="1128"/>
        <v>35.852891553976519</v>
      </c>
    </row>
    <row r="1744" spans="2:11" x14ac:dyDescent="0.35">
      <c r="B1744" t="str">
        <f t="shared" si="1110"/>
        <v>SPS1</v>
      </c>
      <c r="C1744" t="str">
        <f t="shared" si="1111"/>
        <v>CH</v>
      </c>
      <c r="D1744" t="s">
        <v>1777</v>
      </c>
      <c r="E1744" t="str">
        <f t="shared" ref="E1744:F1744" si="1129">E10</f>
        <v>PJ/yr.</v>
      </c>
      <c r="F1744" s="1">
        <f t="shared" si="1129"/>
        <v>34.100450998630919</v>
      </c>
      <c r="G1744" s="1">
        <f t="shared" ref="G1744:K1744" si="1130">G10</f>
        <v>34.814590376122538</v>
      </c>
      <c r="H1744" s="1">
        <f t="shared" si="1130"/>
        <v>34.814594164581955</v>
      </c>
      <c r="I1744" s="1">
        <f t="shared" si="1130"/>
        <v>36.022302246364077</v>
      </c>
      <c r="J1744" s="1">
        <f t="shared" si="1130"/>
        <v>36.022356652924266</v>
      </c>
      <c r="K1744" s="1">
        <f t="shared" si="1130"/>
        <v>36.022525608615652</v>
      </c>
    </row>
    <row r="1745" spans="2:11" x14ac:dyDescent="0.35">
      <c r="B1745" t="str">
        <f t="shared" si="1110"/>
        <v>SPS1</v>
      </c>
      <c r="C1745" t="str">
        <f t="shared" si="1111"/>
        <v>CH</v>
      </c>
      <c r="D1745" t="s">
        <v>1778</v>
      </c>
      <c r="E1745" t="str">
        <f t="shared" ref="E1745:F1745" si="1131">E11</f>
        <v>PJ/yr.</v>
      </c>
      <c r="F1745" s="1">
        <f t="shared" si="1131"/>
        <v>3.7980974745362204</v>
      </c>
      <c r="G1745" s="1">
        <f t="shared" ref="G1745:K1745" si="1132">G11</f>
        <v>10.171950244929162</v>
      </c>
      <c r="H1745" s="1">
        <f t="shared" si="1132"/>
        <v>12.540050449912423</v>
      </c>
      <c r="I1745" s="1">
        <f t="shared" si="1132"/>
        <v>12.540436679121591</v>
      </c>
      <c r="J1745" s="1">
        <f t="shared" si="1132"/>
        <v>14.6310536101415</v>
      </c>
      <c r="K1745" s="1">
        <f t="shared" si="1132"/>
        <v>26.8171028524945</v>
      </c>
    </row>
    <row r="1746" spans="2:11" x14ac:dyDescent="0.35">
      <c r="B1746" t="str">
        <f t="shared" si="1110"/>
        <v>SPS1</v>
      </c>
      <c r="C1746" t="str">
        <f t="shared" si="1111"/>
        <v>CH</v>
      </c>
      <c r="D1746" t="s">
        <v>1779</v>
      </c>
      <c r="E1746" t="str">
        <f t="shared" ref="E1746:F1746" si="1133">E12</f>
        <v>PJ/yr.</v>
      </c>
      <c r="F1746" s="1">
        <f t="shared" si="1133"/>
        <v>149.43048926184497</v>
      </c>
      <c r="G1746" s="1">
        <f t="shared" ref="G1746:K1746" si="1134">G12</f>
        <v>125.60521764655181</v>
      </c>
      <c r="H1746" s="1">
        <f t="shared" si="1134"/>
        <v>178.01159626065663</v>
      </c>
      <c r="I1746" s="1">
        <f t="shared" si="1134"/>
        <v>150.87264205225358</v>
      </c>
      <c r="J1746" s="1">
        <f t="shared" si="1134"/>
        <v>151.60854916082769</v>
      </c>
      <c r="K1746" s="1">
        <f t="shared" si="1134"/>
        <v>152.16869051047061</v>
      </c>
    </row>
    <row r="1747" spans="2:11" x14ac:dyDescent="0.35">
      <c r="B1747" t="str">
        <f t="shared" si="1110"/>
        <v>SPS1</v>
      </c>
      <c r="C1747" t="str">
        <f t="shared" si="1111"/>
        <v>CH</v>
      </c>
      <c r="D1747" t="s">
        <v>1780</v>
      </c>
      <c r="E1747" t="str">
        <f t="shared" ref="E1747:F1747" si="1135">E13</f>
        <v>PJ/yr.</v>
      </c>
      <c r="F1747" s="1">
        <f t="shared" si="1135"/>
        <v>66.745680254990347</v>
      </c>
      <c r="G1747" s="1">
        <f t="shared" ref="G1747:K1747" si="1136">G13</f>
        <v>49.798800132421839</v>
      </c>
      <c r="H1747" s="1">
        <f t="shared" si="1136"/>
        <v>68.534753880992568</v>
      </c>
      <c r="I1747" s="1">
        <f t="shared" si="1136"/>
        <v>70.674053749448348</v>
      </c>
      <c r="J1747" s="1">
        <f t="shared" si="1136"/>
        <v>72.726673527690465</v>
      </c>
      <c r="K1747" s="1">
        <f t="shared" si="1136"/>
        <v>74.835177080932695</v>
      </c>
    </row>
    <row r="1748" spans="2:11" x14ac:dyDescent="0.35">
      <c r="B1748" t="str">
        <f t="shared" si="1110"/>
        <v>SPS1</v>
      </c>
      <c r="C1748" t="str">
        <f t="shared" si="1111"/>
        <v>CH</v>
      </c>
      <c r="D1748" t="s">
        <v>1781</v>
      </c>
      <c r="E1748" t="str">
        <f t="shared" ref="E1748:F1748" si="1137">E14</f>
        <v>PJ/yr.</v>
      </c>
      <c r="F1748" s="1">
        <f t="shared" si="1137"/>
        <v>66.63240339221673</v>
      </c>
      <c r="G1748" s="1">
        <f t="shared" ref="G1748:K1748" si="1138">G14</f>
        <v>55.764002869629728</v>
      </c>
      <c r="H1748" s="1">
        <f t="shared" si="1138"/>
        <v>65.550592645327413</v>
      </c>
      <c r="I1748" s="1">
        <f t="shared" si="1138"/>
        <v>64.47402554118807</v>
      </c>
      <c r="J1748" s="1">
        <f t="shared" si="1138"/>
        <v>62.590508052977171</v>
      </c>
      <c r="K1748" s="1">
        <f t="shared" si="1138"/>
        <v>60.48200508705731</v>
      </c>
    </row>
    <row r="1749" spans="2:11" x14ac:dyDescent="0.35">
      <c r="B1749" t="str">
        <f t="shared" si="1110"/>
        <v>SPS1</v>
      </c>
      <c r="C1749" t="str">
        <f t="shared" si="1111"/>
        <v>CH</v>
      </c>
      <c r="D1749" t="s">
        <v>1782</v>
      </c>
      <c r="E1749" t="str">
        <f t="shared" ref="E1749:F1749" si="1139">E15</f>
        <v>PJ/yr.</v>
      </c>
      <c r="F1749" s="1">
        <f t="shared" si="1139"/>
        <v>16.052405614637909</v>
      </c>
      <c r="G1749" s="1">
        <f t="shared" ref="G1749:K1749" si="1140">G15</f>
        <v>20.042414644500237</v>
      </c>
      <c r="H1749" s="1">
        <f t="shared" si="1140"/>
        <v>43.926249734336636</v>
      </c>
      <c r="I1749" s="1">
        <f t="shared" si="1140"/>
        <v>15.724562761617161</v>
      </c>
      <c r="J1749" s="1">
        <f t="shared" si="1140"/>
        <v>16.291367580160053</v>
      </c>
      <c r="K1749" s="1">
        <f t="shared" si="1140"/>
        <v>16.851508342480596</v>
      </c>
    </row>
    <row r="1750" spans="2:11" x14ac:dyDescent="0.35">
      <c r="B1750" t="str">
        <f t="shared" si="1110"/>
        <v>SPS1</v>
      </c>
      <c r="C1750" t="str">
        <f t="shared" si="1111"/>
        <v>CH</v>
      </c>
      <c r="D1750" t="s">
        <v>1783</v>
      </c>
      <c r="E1750" t="str">
        <f t="shared" ref="E1750:F1750" si="1141">E16</f>
        <v>PJ/yr.</v>
      </c>
      <c r="F1750" s="1">
        <f t="shared" si="1141"/>
        <v>12.556504254208923</v>
      </c>
      <c r="G1750" s="1">
        <f t="shared" ref="G1750:K1750" si="1142">G16</f>
        <v>16.523453476725518</v>
      </c>
      <c r="H1750" s="1">
        <f t="shared" si="1142"/>
        <v>30.433511235956367</v>
      </c>
      <c r="I1750" s="1">
        <f t="shared" si="1142"/>
        <v>37.552669599119561</v>
      </c>
      <c r="J1750" s="1">
        <f t="shared" si="1142"/>
        <v>78.7220123082773</v>
      </c>
      <c r="K1750" s="1">
        <f t="shared" si="1142"/>
        <v>109.10626507155759</v>
      </c>
    </row>
    <row r="1751" spans="2:11" x14ac:dyDescent="0.35">
      <c r="B1751" t="str">
        <f t="shared" si="1110"/>
        <v>SPS1</v>
      </c>
      <c r="C1751" t="str">
        <f t="shared" si="1111"/>
        <v>CH</v>
      </c>
      <c r="D1751" t="s">
        <v>1784</v>
      </c>
      <c r="E1751" t="str">
        <f t="shared" ref="E1751:F1751" si="1143">E17</f>
        <v>PJ/yr.</v>
      </c>
      <c r="F1751" s="1">
        <f t="shared" si="1143"/>
        <v>0.5240195757057261</v>
      </c>
      <c r="G1751" s="1">
        <f t="shared" ref="G1751:K1751" si="1144">G17</f>
        <v>0.54529493025162967</v>
      </c>
      <c r="H1751" s="1">
        <f t="shared" si="1144"/>
        <v>0.50316752966852485</v>
      </c>
      <c r="I1751" s="1">
        <f t="shared" si="1144"/>
        <v>2.0502785444854461</v>
      </c>
      <c r="J1751" s="1">
        <f t="shared" si="1144"/>
        <v>3.5228379247696697</v>
      </c>
      <c r="K1751" s="1">
        <f t="shared" si="1144"/>
        <v>14.10284351480307</v>
      </c>
    </row>
    <row r="1752" spans="2:11" x14ac:dyDescent="0.35">
      <c r="B1752" t="str">
        <f t="shared" si="1110"/>
        <v>SPS1</v>
      </c>
      <c r="C1752" t="str">
        <f t="shared" si="1111"/>
        <v>CH</v>
      </c>
      <c r="D1752" t="s">
        <v>1785</v>
      </c>
      <c r="E1752" t="str">
        <f t="shared" ref="E1752:F1752" si="1145">E18</f>
        <v>PJ/yr.</v>
      </c>
      <c r="F1752" s="1">
        <f t="shared" si="1145"/>
        <v>18.873123390066002</v>
      </c>
      <c r="G1752" s="1">
        <f t="shared" ref="G1752:K1752" si="1146">G18</f>
        <v>21.777729839781443</v>
      </c>
      <c r="H1752" s="1">
        <f t="shared" si="1146"/>
        <v>32.118708554045234</v>
      </c>
      <c r="I1752" s="1">
        <f t="shared" si="1146"/>
        <v>60.464774699651606</v>
      </c>
      <c r="J1752" s="1">
        <f t="shared" si="1146"/>
        <v>90.262614621560544</v>
      </c>
      <c r="K1752" s="1">
        <f t="shared" si="1146"/>
        <v>96.221034689029807</v>
      </c>
    </row>
    <row r="1753" spans="2:11" x14ac:dyDescent="0.35">
      <c r="B1753" t="str">
        <f t="shared" si="1110"/>
        <v>SPS1</v>
      </c>
      <c r="C1753" t="str">
        <f t="shared" si="1111"/>
        <v>CH</v>
      </c>
      <c r="D1753" t="s">
        <v>1786</v>
      </c>
      <c r="E1753" t="str">
        <f t="shared" ref="E1753:F1753" si="1147">E19</f>
        <v>PJ/yr.</v>
      </c>
      <c r="F1753" s="1">
        <f t="shared" si="1147"/>
        <v>0</v>
      </c>
      <c r="G1753" s="1">
        <f t="shared" ref="G1753:K1753" si="1148">G19</f>
        <v>0</v>
      </c>
      <c r="H1753" s="1">
        <f t="shared" si="1148"/>
        <v>0</v>
      </c>
      <c r="I1753" s="1">
        <f t="shared" si="1148"/>
        <v>0</v>
      </c>
      <c r="J1753" s="1">
        <f t="shared" si="1148"/>
        <v>0.55901362265447885</v>
      </c>
      <c r="K1753" s="1">
        <f t="shared" si="1148"/>
        <v>21.380768533458554</v>
      </c>
    </row>
    <row r="1754" spans="2:11" x14ac:dyDescent="0.35">
      <c r="B1754" s="9" t="str">
        <f t="shared" si="1110"/>
        <v>SPS1</v>
      </c>
      <c r="C1754" s="2" t="str">
        <f t="shared" si="1111"/>
        <v>CH</v>
      </c>
      <c r="D1754" s="2" t="s">
        <v>1789</v>
      </c>
      <c r="E1754" s="2" t="s">
        <v>1858</v>
      </c>
      <c r="F1754" s="3">
        <f t="shared" ref="F1754:K1754" si="1149">SUM(F1755,F1757,F1761,F1765,F1781,F1788,F1796,F1798,F1806,F1810,F1804)</f>
        <v>22.326911833105665</v>
      </c>
      <c r="G1754" s="3">
        <f t="shared" si="1149"/>
        <v>24.366300679517682</v>
      </c>
      <c r="H1754" s="3">
        <f t="shared" si="1149"/>
        <v>29.246572749634453</v>
      </c>
      <c r="I1754" s="3">
        <f t="shared" si="1149"/>
        <v>30.673032477867508</v>
      </c>
      <c r="J1754" s="3">
        <f t="shared" si="1149"/>
        <v>42.217382598434135</v>
      </c>
      <c r="K1754" s="3">
        <f t="shared" si="1149"/>
        <v>52.35074231986556</v>
      </c>
    </row>
    <row r="1755" spans="2:11" x14ac:dyDescent="0.35">
      <c r="B1755" s="5" t="str">
        <f t="shared" si="1110"/>
        <v>SPS1</v>
      </c>
      <c r="C1755" s="5" t="str">
        <f t="shared" si="1111"/>
        <v>CH</v>
      </c>
      <c r="D1755" t="s">
        <v>1791</v>
      </c>
      <c r="E1755" t="str">
        <f>E1754</f>
        <v>GWe/yr.</v>
      </c>
      <c r="F1755" s="1">
        <f>+F1756</f>
        <v>3.0805586244489294</v>
      </c>
      <c r="G1755" s="1">
        <f t="shared" ref="G1755:K1755" si="1150">+G1756</f>
        <v>3.0805585233698247</v>
      </c>
      <c r="H1755" s="1">
        <f t="shared" si="1150"/>
        <v>2.7155588121628846</v>
      </c>
      <c r="I1755" s="1">
        <f t="shared" si="1150"/>
        <v>2.6090415663461117</v>
      </c>
      <c r="J1755" s="1">
        <f t="shared" si="1150"/>
        <v>1.2356852884349503</v>
      </c>
      <c r="K1755" s="1">
        <f t="shared" si="1150"/>
        <v>0</v>
      </c>
    </row>
    <row r="1756" spans="2:11" x14ac:dyDescent="0.35">
      <c r="B1756" s="5" t="str">
        <f t="shared" si="1110"/>
        <v>SPS1</v>
      </c>
      <c r="C1756" s="5" t="str">
        <f t="shared" si="1111"/>
        <v>CH</v>
      </c>
      <c r="D1756" t="s">
        <v>1792</v>
      </c>
      <c r="E1756" t="str">
        <f t="shared" ref="E1756:E1817" si="1151">E1755</f>
        <v>GWe/yr.</v>
      </c>
      <c r="F1756" s="1">
        <f>'[1]Electricity and CHPs_CAP'!B$14</f>
        <v>3.0805586244489294</v>
      </c>
      <c r="G1756" s="1">
        <f>'[1]Electricity and CHPs_CAP'!C$14</f>
        <v>3.0805585233698247</v>
      </c>
      <c r="H1756" s="1">
        <f>'[1]Electricity and CHPs_CAP'!D$14</f>
        <v>2.7155588121628846</v>
      </c>
      <c r="I1756" s="1">
        <f>'[1]Electricity and CHPs_CAP'!E$14</f>
        <v>2.6090415663461117</v>
      </c>
      <c r="J1756" s="1">
        <f>'[1]Electricity and CHPs_CAP'!F$14</f>
        <v>1.2356852884349503</v>
      </c>
      <c r="K1756" s="1">
        <f>'[1]Electricity and CHPs_CAP'!G$14</f>
        <v>0</v>
      </c>
    </row>
    <row r="1757" spans="2:11" x14ac:dyDescent="0.35">
      <c r="B1757" s="5" t="str">
        <f t="shared" si="1110"/>
        <v>SPS1</v>
      </c>
      <c r="C1757" s="5" t="str">
        <f t="shared" si="1111"/>
        <v>CH</v>
      </c>
      <c r="D1757" t="s">
        <v>1793</v>
      </c>
      <c r="E1757" t="str">
        <f t="shared" si="1151"/>
        <v>GWe/yr.</v>
      </c>
      <c r="F1757" s="1">
        <f>SUM(F1758:F1760)</f>
        <v>15.403610001059999</v>
      </c>
      <c r="G1757" s="1">
        <f t="shared" ref="G1757:K1757" si="1152">SUM(G1758:G1760)</f>
        <v>16.11894491104243</v>
      </c>
      <c r="H1757" s="1">
        <f t="shared" si="1152"/>
        <v>16.563262718284925</v>
      </c>
      <c r="I1757" s="1">
        <f t="shared" si="1152"/>
        <v>16.638847302898462</v>
      </c>
      <c r="J1757" s="1">
        <f t="shared" si="1152"/>
        <v>16.871082373958142</v>
      </c>
      <c r="K1757" s="1">
        <f t="shared" si="1152"/>
        <v>16.980655042176387</v>
      </c>
    </row>
    <row r="1758" spans="2:11" x14ac:dyDescent="0.35">
      <c r="B1758" s="5" t="str">
        <f t="shared" si="1110"/>
        <v>SPS1</v>
      </c>
      <c r="C1758" s="5" t="str">
        <f t="shared" si="1111"/>
        <v>CH</v>
      </c>
      <c r="D1758" t="s">
        <v>1794</v>
      </c>
      <c r="E1758" t="str">
        <f t="shared" si="1151"/>
        <v>GWe/yr.</v>
      </c>
      <c r="F1758" s="1">
        <f>'[1]Electricity and CHPs_CAP'!B$15</f>
        <v>7.3394300010600002</v>
      </c>
      <c r="G1758" s="1">
        <f>'[1]Electricity and CHPs_CAP'!C$15</f>
        <v>7.3404858209701542</v>
      </c>
      <c r="H1758" s="1">
        <f>'[1]Electricity and CHPs_CAP'!D$15</f>
        <v>7.3437310049785287</v>
      </c>
      <c r="I1758" s="1">
        <f>'[1]Electricity and CHPs_CAP'!E$15</f>
        <v>7.4149887296920411</v>
      </c>
      <c r="J1758" s="1">
        <f>'[1]Electricity and CHPs_CAP'!F$15</f>
        <v>7.6234156746732626</v>
      </c>
      <c r="K1758" s="1">
        <f>'[1]Electricity and CHPs_CAP'!G$15</f>
        <v>7.728651997008086</v>
      </c>
    </row>
    <row r="1759" spans="2:11" x14ac:dyDescent="0.35">
      <c r="B1759" s="5" t="str">
        <f t="shared" si="1110"/>
        <v>SPS1</v>
      </c>
      <c r="C1759" s="5" t="str">
        <f t="shared" si="1111"/>
        <v>CH</v>
      </c>
      <c r="D1759" t="s">
        <v>1795</v>
      </c>
      <c r="E1759" t="str">
        <f t="shared" si="1151"/>
        <v>GWe/yr.</v>
      </c>
      <c r="F1759" s="1">
        <f>'[1]Electricity and CHPs_CAP'!B$16</f>
        <v>4.7247299999999992</v>
      </c>
      <c r="G1759" s="1">
        <f>'[1]Electricity and CHPs_CAP'!C$16</f>
        <v>4.8073145611445538</v>
      </c>
      <c r="H1759" s="1">
        <f>'[1]Electricity and CHPs_CAP'!D$16</f>
        <v>4.8599661304997213</v>
      </c>
      <c r="I1759" s="1">
        <f>'[1]Electricity and CHPs_CAP'!E$16</f>
        <v>4.8642929903997496</v>
      </c>
      <c r="J1759" s="1">
        <f>'[1]Electricity and CHPs_CAP'!F$16</f>
        <v>4.8881009937192177</v>
      </c>
      <c r="K1759" s="1">
        <f>'[1]Electricity and CHPs_CAP'!G$16</f>
        <v>4.8924371412683856</v>
      </c>
    </row>
    <row r="1760" spans="2:11" x14ac:dyDescent="0.35">
      <c r="B1760" s="5" t="str">
        <f t="shared" si="1110"/>
        <v>SPS1</v>
      </c>
      <c r="C1760" s="5" t="str">
        <f t="shared" si="1111"/>
        <v>CH</v>
      </c>
      <c r="D1760" t="s">
        <v>1796</v>
      </c>
      <c r="E1760" t="str">
        <f t="shared" si="1151"/>
        <v>GWe/yr.</v>
      </c>
      <c r="F1760" s="1">
        <f>'[1]Electricity and CHPs_CAP'!B$17</f>
        <v>3.3394499999999998</v>
      </c>
      <c r="G1760" s="1">
        <f>'[1]Electricity and CHPs_CAP'!C$17</f>
        <v>3.9711445289277227</v>
      </c>
      <c r="H1760" s="1">
        <f>'[1]Electricity and CHPs_CAP'!D$17</f>
        <v>4.3595655828066722</v>
      </c>
      <c r="I1760" s="1">
        <f>'[1]Electricity and CHPs_CAP'!E$17</f>
        <v>4.3595655828066722</v>
      </c>
      <c r="J1760" s="1">
        <f>'[1]Electricity and CHPs_CAP'!F$17</f>
        <v>4.3595657055656618</v>
      </c>
      <c r="K1760" s="1">
        <f>'[1]Electricity and CHPs_CAP'!G$17</f>
        <v>4.3595659038999175</v>
      </c>
    </row>
    <row r="1761" spans="2:11" x14ac:dyDescent="0.35">
      <c r="B1761" s="5" t="str">
        <f>B1752</f>
        <v>SPS1</v>
      </c>
      <c r="C1761" s="5" t="str">
        <f>C1752</f>
        <v>CH</v>
      </c>
      <c r="D1761" t="s">
        <v>1797</v>
      </c>
      <c r="E1761" t="str">
        <f t="shared" si="1151"/>
        <v>GWe/yr.</v>
      </c>
      <c r="F1761" s="1">
        <f>SUM(F1762:F1764)</f>
        <v>3.0292957510780615E-2</v>
      </c>
      <c r="G1761" s="1">
        <f t="shared" ref="G1761:K1761" si="1153">SUM(G1762:G1764)</f>
        <v>4.398393109303133E-2</v>
      </c>
      <c r="H1761" s="1">
        <f t="shared" si="1153"/>
        <v>3.9328588381696394E-2</v>
      </c>
      <c r="I1761" s="1">
        <f t="shared" si="1153"/>
        <v>5.5601940448089845E-2</v>
      </c>
      <c r="J1761" s="1">
        <f t="shared" si="1153"/>
        <v>3.8282917821223707E-2</v>
      </c>
      <c r="K1761" s="1">
        <f t="shared" si="1153"/>
        <v>1.9753867843317727E-3</v>
      </c>
    </row>
    <row r="1762" spans="2:11" x14ac:dyDescent="0.35">
      <c r="B1762" s="5" t="str">
        <f>B1761</f>
        <v>SPS1</v>
      </c>
      <c r="C1762" s="5" t="str">
        <f>C1761</f>
        <v>CH</v>
      </c>
      <c r="D1762" t="s">
        <v>1798</v>
      </c>
      <c r="E1762" t="str">
        <f t="shared" si="1151"/>
        <v>GWe/yr.</v>
      </c>
      <c r="F1762" s="1">
        <f>'[1]Electricity and CHPs_CAP'!B$18</f>
        <v>2.0441461062309804E-2</v>
      </c>
      <c r="G1762" s="1">
        <f>'[1]Electricity and CHPs_CAP'!C$18</f>
        <v>2.0380169959146446E-2</v>
      </c>
      <c r="H1762" s="1">
        <f>'[1]Electricity and CHPs_CAP'!D$18</f>
        <v>1.5756508680831449E-2</v>
      </c>
      <c r="I1762" s="1">
        <f>'[1]Electricity and CHPs_CAP'!E$18</f>
        <v>3.2135848791960922E-2</v>
      </c>
      <c r="J1762" s="1">
        <f>'[1]Electricity and CHPs_CAP'!F$18</f>
        <v>3.8161593098763415E-2</v>
      </c>
      <c r="K1762" s="1">
        <f>'[1]Electricity and CHPs_CAP'!G$18</f>
        <v>1.9287355395307022E-3</v>
      </c>
    </row>
    <row r="1763" spans="2:11" x14ac:dyDescent="0.35">
      <c r="B1763" s="5" t="str">
        <f t="shared" ref="B1763:C1764" si="1154">B1762</f>
        <v>SPS1</v>
      </c>
      <c r="C1763" s="5" t="str">
        <f t="shared" si="1154"/>
        <v>CH</v>
      </c>
      <c r="D1763" t="s">
        <v>1799</v>
      </c>
      <c r="E1763" t="str">
        <f t="shared" si="1151"/>
        <v>GWe/yr.</v>
      </c>
      <c r="F1763" s="1">
        <f>'[1]Electricity and CHPs_CAP'!B$28</f>
        <v>1.5463431663757313E-3</v>
      </c>
      <c r="G1763" s="1">
        <f>'[1]Electricity and CHPs_CAP'!C$28</f>
        <v>4.3862805224603382E-4</v>
      </c>
      <c r="H1763" s="1">
        <f>'[1]Electricity and CHPs_CAP'!D$28</f>
        <v>4.0738103617065854E-4</v>
      </c>
      <c r="I1763" s="1">
        <f>'[1]Electricity and CHPs_CAP'!E$28</f>
        <v>3.0150255294397743E-4</v>
      </c>
      <c r="J1763" s="1">
        <f>'[1]Electricity and CHPs_CAP'!F$28</f>
        <v>1.2132472246028953E-4</v>
      </c>
      <c r="K1763" s="1">
        <f>'[1]Electricity and CHPs_CAP'!G$28</f>
        <v>4.6651244801070654E-5</v>
      </c>
    </row>
    <row r="1764" spans="2:11" x14ac:dyDescent="0.35">
      <c r="B1764" s="5" t="str">
        <f t="shared" si="1154"/>
        <v>SPS1</v>
      </c>
      <c r="C1764" s="5" t="str">
        <f t="shared" si="1154"/>
        <v>CH</v>
      </c>
      <c r="D1764" t="s">
        <v>1800</v>
      </c>
      <c r="E1764" t="str">
        <f t="shared" si="1151"/>
        <v>GWe/yr.</v>
      </c>
      <c r="F1764" s="1">
        <f>'[1]Electricity and CHPs_CAP'!B$41</f>
        <v>8.3051532820950808E-3</v>
      </c>
      <c r="G1764" s="1">
        <f>'[1]Electricity and CHPs_CAP'!C$41</f>
        <v>2.3165133081638849E-2</v>
      </c>
      <c r="H1764" s="1">
        <f>'[1]Electricity and CHPs_CAP'!D$41</f>
        <v>2.3164698664694283E-2</v>
      </c>
      <c r="I1764" s="1">
        <f>'[1]Electricity and CHPs_CAP'!E$41</f>
        <v>2.3164589103184949E-2</v>
      </c>
      <c r="J1764" s="1">
        <f>'[1]Electricity and CHPs_CAP'!F$41</f>
        <v>0</v>
      </c>
      <c r="K1764" s="1">
        <f>'[1]Electricity and CHPs_CAP'!G$41</f>
        <v>0</v>
      </c>
    </row>
    <row r="1765" spans="2:11" x14ac:dyDescent="0.35">
      <c r="B1765" s="5" t="str">
        <f>B1764</f>
        <v>SPS1</v>
      </c>
      <c r="C1765" s="5" t="str">
        <f>C1764</f>
        <v>CH</v>
      </c>
      <c r="D1765" t="s">
        <v>1801</v>
      </c>
      <c r="E1765" t="str">
        <f t="shared" si="1151"/>
        <v>GWe/yr.</v>
      </c>
      <c r="F1765" s="1">
        <f>SUM(F1766:F1780)</f>
        <v>0.2251629886867984</v>
      </c>
      <c r="G1765" s="1">
        <f t="shared" ref="G1765:K1765" si="1155">SUM(G1766:G1780)</f>
        <v>0.17751572456936643</v>
      </c>
      <c r="H1765" s="1">
        <f t="shared" si="1155"/>
        <v>0.14983643072270519</v>
      </c>
      <c r="I1765" s="1">
        <f t="shared" si="1155"/>
        <v>0.14339738476870625</v>
      </c>
      <c r="J1765" s="1">
        <f t="shared" si="1155"/>
        <v>0.24839360569891228</v>
      </c>
      <c r="K1765" s="1">
        <f t="shared" si="1155"/>
        <v>0.20371455719090562</v>
      </c>
    </row>
    <row r="1766" spans="2:11" x14ac:dyDescent="0.35">
      <c r="B1766" s="5" t="str">
        <f t="shared" ref="B1766:C1779" si="1156">B1765</f>
        <v>SPS1</v>
      </c>
      <c r="C1766" s="5" t="str">
        <f t="shared" si="1156"/>
        <v>CH</v>
      </c>
      <c r="D1766" t="s">
        <v>1802</v>
      </c>
      <c r="E1766" t="str">
        <f t="shared" si="1151"/>
        <v>GWe/yr.</v>
      </c>
      <c r="F1766" s="1">
        <f>'[1]Electricity and CHPs_CAP'!B$21</f>
        <v>0</v>
      </c>
      <c r="G1766" s="1">
        <f>'[1]Electricity and CHPs_CAP'!C$21</f>
        <v>0</v>
      </c>
      <c r="H1766" s="1">
        <f>'[1]Electricity and CHPs_CAP'!D$21</f>
        <v>0</v>
      </c>
      <c r="I1766" s="1">
        <f>'[1]Electricity and CHPs_CAP'!E$21</f>
        <v>0</v>
      </c>
      <c r="J1766" s="1">
        <f>'[1]Electricity and CHPs_CAP'!F$21</f>
        <v>3.6267425089211199E-6</v>
      </c>
      <c r="K1766" s="1">
        <f>'[1]Electricity and CHPs_CAP'!G$21</f>
        <v>7.9466650374429462E-4</v>
      </c>
    </row>
    <row r="1767" spans="2:11" x14ac:dyDescent="0.35">
      <c r="B1767" s="5" t="str">
        <f t="shared" si="1156"/>
        <v>SPS1</v>
      </c>
      <c r="C1767" s="5" t="str">
        <f t="shared" si="1156"/>
        <v>CH</v>
      </c>
      <c r="D1767" t="s">
        <v>1803</v>
      </c>
      <c r="E1767" t="str">
        <f t="shared" si="1151"/>
        <v>GWe/yr.</v>
      </c>
      <c r="F1767" s="1">
        <f>'[1]Electricity and CHPs_CAP'!B$22</f>
        <v>0</v>
      </c>
      <c r="G1767" s="1">
        <f>'[1]Electricity and CHPs_CAP'!C$22</f>
        <v>0</v>
      </c>
      <c r="H1767" s="1">
        <f>'[1]Electricity and CHPs_CAP'!D$22</f>
        <v>0</v>
      </c>
      <c r="I1767" s="1">
        <f>'[1]Electricity and CHPs_CAP'!E$22</f>
        <v>0</v>
      </c>
      <c r="J1767" s="1">
        <f>'[1]Electricity and CHPs_CAP'!F$22</f>
        <v>5.7547686732609886E-4</v>
      </c>
      <c r="K1767" s="1">
        <f>'[1]Electricity and CHPs_CAP'!G$22</f>
        <v>4.0193288194019752E-2</v>
      </c>
    </row>
    <row r="1768" spans="2:11" x14ac:dyDescent="0.35">
      <c r="B1768" s="5" t="str">
        <f t="shared" si="1156"/>
        <v>SPS1</v>
      </c>
      <c r="C1768" s="5" t="str">
        <f t="shared" si="1156"/>
        <v>CH</v>
      </c>
      <c r="D1768" t="s">
        <v>1804</v>
      </c>
      <c r="E1768" t="str">
        <f t="shared" si="1151"/>
        <v>GWe/yr.</v>
      </c>
      <c r="F1768" s="1">
        <f>'[1]Electricity and CHPs_CAP'!B$23</f>
        <v>0</v>
      </c>
      <c r="G1768" s="1">
        <f>'[1]Electricity and CHPs_CAP'!C$23</f>
        <v>0</v>
      </c>
      <c r="H1768" s="1">
        <f>'[1]Electricity and CHPs_CAP'!D$23</f>
        <v>0</v>
      </c>
      <c r="I1768" s="1">
        <f>'[1]Electricity and CHPs_CAP'!E$23</f>
        <v>0</v>
      </c>
      <c r="J1768" s="1">
        <f>'[1]Electricity and CHPs_CAP'!F$23</f>
        <v>0</v>
      </c>
      <c r="K1768" s="1">
        <f>'[1]Electricity and CHPs_CAP'!G$23</f>
        <v>0</v>
      </c>
    </row>
    <row r="1769" spans="2:11" x14ac:dyDescent="0.35">
      <c r="B1769" s="5" t="str">
        <f t="shared" si="1156"/>
        <v>SPS1</v>
      </c>
      <c r="C1769" s="5" t="str">
        <f t="shared" si="1156"/>
        <v>CH</v>
      </c>
      <c r="D1769" t="s">
        <v>1805</v>
      </c>
      <c r="E1769" t="str">
        <f t="shared" si="1151"/>
        <v>GWe/yr.</v>
      </c>
      <c r="F1769" s="1">
        <f>'[1]Electricity and CHPs_CAP'!B$24</f>
        <v>4.8144842062160298E-2</v>
      </c>
      <c r="G1769" s="1">
        <f>'[1]Electricity and CHPs_CAP'!C$24</f>
        <v>3.8573745790623781E-5</v>
      </c>
      <c r="H1769" s="1">
        <f>'[1]Electricity and CHPs_CAP'!D$24</f>
        <v>3.8871380013932866E-5</v>
      </c>
      <c r="I1769" s="1">
        <f>'[1]Electricity and CHPs_CAP'!E$24</f>
        <v>-5.0422048626652671E-7</v>
      </c>
      <c r="J1769" s="1">
        <f>'[1]Electricity and CHPs_CAP'!F$24</f>
        <v>0</v>
      </c>
      <c r="K1769" s="1">
        <f>'[1]Electricity and CHPs_CAP'!G$24</f>
        <v>0</v>
      </c>
    </row>
    <row r="1770" spans="2:11" x14ac:dyDescent="0.35">
      <c r="B1770" s="5" t="str">
        <f t="shared" si="1156"/>
        <v>SPS1</v>
      </c>
      <c r="C1770" s="5" t="str">
        <f t="shared" si="1156"/>
        <v>CH</v>
      </c>
      <c r="D1770" t="s">
        <v>1806</v>
      </c>
      <c r="E1770" t="str">
        <f t="shared" si="1151"/>
        <v>GWe/yr.</v>
      </c>
      <c r="F1770" s="1">
        <f>'[1]Electricity and CHPs_CAP'!B$29</f>
        <v>0</v>
      </c>
      <c r="G1770" s="1">
        <f>'[1]Electricity and CHPs_CAP'!C$29</f>
        <v>0</v>
      </c>
      <c r="H1770" s="1">
        <f>'[1]Electricity and CHPs_CAP'!D$29</f>
        <v>0</v>
      </c>
      <c r="I1770" s="1">
        <f>'[1]Electricity and CHPs_CAP'!E$29</f>
        <v>0</v>
      </c>
      <c r="J1770" s="1">
        <f>'[1]Electricity and CHPs_CAP'!F$29</f>
        <v>0</v>
      </c>
      <c r="K1770" s="1">
        <f>'[1]Electricity and CHPs_CAP'!G$29</f>
        <v>0</v>
      </c>
    </row>
    <row r="1771" spans="2:11" x14ac:dyDescent="0.35">
      <c r="B1771" s="5" t="str">
        <f t="shared" si="1156"/>
        <v>SPS1</v>
      </c>
      <c r="C1771" s="5" t="str">
        <f t="shared" si="1156"/>
        <v>CH</v>
      </c>
      <c r="D1771" t="s">
        <v>1807</v>
      </c>
      <c r="E1771" t="str">
        <f t="shared" si="1151"/>
        <v>GWe/yr.</v>
      </c>
      <c r="F1771" s="1">
        <f>'[1]Electricity and CHPs_CAP'!B$39</f>
        <v>2.5998801772813801E-2</v>
      </c>
      <c r="G1771" s="1">
        <f>'[1]Electricity and CHPs_CAP'!C$39</f>
        <v>1.9228747656604178E-2</v>
      </c>
      <c r="H1771" s="1">
        <f>'[1]Electricity and CHPs_CAP'!D$39</f>
        <v>1.2251404227975E-2</v>
      </c>
      <c r="I1771" s="1">
        <f>'[1]Electricity and CHPs_CAP'!E$39</f>
        <v>5.8169769528825296E-3</v>
      </c>
      <c r="J1771" s="1">
        <f>'[1]Electricity and CHPs_CAP'!F$39</f>
        <v>5.4529268587259302E-2</v>
      </c>
      <c r="K1771" s="1">
        <f>'[1]Electricity and CHPs_CAP'!G$39</f>
        <v>5.1271265280660783E-2</v>
      </c>
    </row>
    <row r="1772" spans="2:11" x14ac:dyDescent="0.35">
      <c r="B1772" s="5" t="str">
        <f t="shared" si="1156"/>
        <v>SPS1</v>
      </c>
      <c r="C1772" s="5" t="str">
        <f t="shared" si="1156"/>
        <v>CH</v>
      </c>
      <c r="D1772" t="s">
        <v>1808</v>
      </c>
      <c r="E1772" t="str">
        <f t="shared" si="1151"/>
        <v>GWe/yr.</v>
      </c>
      <c r="F1772" s="1">
        <f>'[1]Electricity and CHPs_CAP'!B$40</f>
        <v>0</v>
      </c>
      <c r="G1772" s="1">
        <f>'[1]Electricity and CHPs_CAP'!C$40</f>
        <v>0</v>
      </c>
      <c r="H1772" s="1">
        <f>'[1]Electricity and CHPs_CAP'!D$40</f>
        <v>0</v>
      </c>
      <c r="I1772" s="1">
        <f>'[1]Electricity and CHPs_CAP'!E$40</f>
        <v>0</v>
      </c>
      <c r="J1772" s="1">
        <f>'[1]Electricity and CHPs_CAP'!F$40</f>
        <v>2.4559639158943102E-4</v>
      </c>
      <c r="K1772" s="1">
        <f>'[1]Electricity and CHPs_CAP'!G$40</f>
        <v>1.0373626503722257E-2</v>
      </c>
    </row>
    <row r="1773" spans="2:11" x14ac:dyDescent="0.35">
      <c r="B1773" s="5" t="str">
        <f t="shared" si="1156"/>
        <v>SPS1</v>
      </c>
      <c r="C1773" s="5" t="str">
        <f t="shared" si="1156"/>
        <v>CH</v>
      </c>
      <c r="D1773" t="s">
        <v>1809</v>
      </c>
      <c r="E1773" t="str">
        <f t="shared" si="1151"/>
        <v>GWe/yr.</v>
      </c>
      <c r="F1773" s="1">
        <f>'[1]Electricity and CHPs_CAP'!B$47</f>
        <v>0</v>
      </c>
      <c r="G1773" s="1">
        <f>'[1]Electricity and CHPs_CAP'!C$47</f>
        <v>0</v>
      </c>
      <c r="H1773" s="1">
        <f>'[1]Electricity and CHPs_CAP'!D$47</f>
        <v>0</v>
      </c>
      <c r="I1773" s="1">
        <f>'[1]Electricity and CHPs_CAP'!E$47</f>
        <v>4.26852785957005E-5</v>
      </c>
      <c r="J1773" s="1">
        <f>'[1]Electricity and CHPs_CAP'!F$47</f>
        <v>1.4251587030226991E-4</v>
      </c>
      <c r="K1773" s="1">
        <f>'[1]Electricity and CHPs_CAP'!G$47</f>
        <v>6.9217902233026908E-5</v>
      </c>
    </row>
    <row r="1774" spans="2:11" x14ac:dyDescent="0.35">
      <c r="B1774" s="5" t="str">
        <f t="shared" si="1156"/>
        <v>SPS1</v>
      </c>
      <c r="C1774" s="5" t="str">
        <f t="shared" si="1156"/>
        <v>CH</v>
      </c>
      <c r="D1774" t="s">
        <v>1810</v>
      </c>
      <c r="E1774" t="str">
        <f t="shared" si="1151"/>
        <v>GWe/yr.</v>
      </c>
      <c r="F1774" s="1">
        <f>'[1]Electricity and CHPs_CAP'!B$48</f>
        <v>3.9346229306833737E-3</v>
      </c>
      <c r="G1774" s="1">
        <f>'[1]Electricity and CHPs_CAP'!C$48</f>
        <v>6.8272262069531511E-4</v>
      </c>
      <c r="H1774" s="1">
        <f>'[1]Electricity and CHPs_CAP'!D$48</f>
        <v>6.8272419242797016E-4</v>
      </c>
      <c r="I1774" s="1">
        <f>'[1]Electricity and CHPs_CAP'!E$48</f>
        <v>6.7566798844831411E-4</v>
      </c>
      <c r="J1774" s="1">
        <f>'[1]Electricity and CHPs_CAP'!F$48</f>
        <v>1.9491182482867685E-4</v>
      </c>
      <c r="K1774" s="1">
        <f>'[1]Electricity and CHPs_CAP'!G$48</f>
        <v>0</v>
      </c>
    </row>
    <row r="1775" spans="2:11" x14ac:dyDescent="0.35">
      <c r="B1775" s="5" t="str">
        <f t="shared" si="1156"/>
        <v>SPS1</v>
      </c>
      <c r="C1775" s="5" t="str">
        <f t="shared" si="1156"/>
        <v>CH</v>
      </c>
      <c r="D1775" t="s">
        <v>1811</v>
      </c>
      <c r="E1775" t="str">
        <f t="shared" si="1151"/>
        <v>GWe/yr.</v>
      </c>
      <c r="F1775" s="1">
        <f>'[1]Electricity and CHPs_CAP'!B$49</f>
        <v>0</v>
      </c>
      <c r="G1775" s="1">
        <f>'[1]Electricity and CHPs_CAP'!C$49</f>
        <v>0</v>
      </c>
      <c r="H1775" s="1">
        <f>'[1]Electricity and CHPs_CAP'!D$49</f>
        <v>0</v>
      </c>
      <c r="I1775" s="1">
        <f>'[1]Electricity and CHPs_CAP'!E$49</f>
        <v>0</v>
      </c>
      <c r="J1775" s="1">
        <f>'[1]Electricity and CHPs_CAP'!F$49</f>
        <v>0</v>
      </c>
      <c r="K1775" s="1">
        <f>'[1]Electricity and CHPs_CAP'!G$49</f>
        <v>0</v>
      </c>
    </row>
    <row r="1776" spans="2:11" x14ac:dyDescent="0.35">
      <c r="B1776" s="5" t="str">
        <f t="shared" si="1156"/>
        <v>SPS1</v>
      </c>
      <c r="C1776" s="5" t="str">
        <f t="shared" si="1156"/>
        <v>CH</v>
      </c>
      <c r="D1776" t="s">
        <v>1812</v>
      </c>
      <c r="E1776" t="str">
        <f t="shared" si="1151"/>
        <v>GWe/yr.</v>
      </c>
      <c r="F1776" s="1">
        <f>'[1]Electricity and CHPs_CAP'!B$51</f>
        <v>8.3725971071547511E-3</v>
      </c>
      <c r="G1776" s="1">
        <f>'[1]Electricity and CHPs_CAP'!C$51</f>
        <v>2.494081651906388E-2</v>
      </c>
      <c r="H1776" s="1">
        <f>'[1]Electricity and CHPs_CAP'!D$51</f>
        <v>2.494107584103069E-2</v>
      </c>
      <c r="I1776" s="1">
        <f>'[1]Electricity and CHPs_CAP'!E$51</f>
        <v>2.4941133581770185E-2</v>
      </c>
      <c r="J1776" s="1">
        <f>'[1]Electricity and CHPs_CAP'!F$51</f>
        <v>1.1524400327895975E-2</v>
      </c>
      <c r="K1776" s="1">
        <f>'[1]Electricity and CHPs_CAP'!G$51</f>
        <v>0</v>
      </c>
    </row>
    <row r="1777" spans="2:11" x14ac:dyDescent="0.35">
      <c r="B1777" s="5" t="str">
        <f t="shared" si="1156"/>
        <v>SPS1</v>
      </c>
      <c r="C1777" s="5" t="str">
        <f t="shared" si="1156"/>
        <v>CH</v>
      </c>
      <c r="D1777" t="s">
        <v>1813</v>
      </c>
      <c r="E1777" t="str">
        <f t="shared" si="1151"/>
        <v>GWe/yr.</v>
      </c>
      <c r="F1777" s="1">
        <f>'[1]Electricity and CHPs_CAP'!B$52</f>
        <v>0</v>
      </c>
      <c r="G1777" s="1">
        <f>'[1]Electricity and CHPs_CAP'!C$52</f>
        <v>0</v>
      </c>
      <c r="H1777" s="1">
        <f>'[1]Electricity and CHPs_CAP'!D$52</f>
        <v>0</v>
      </c>
      <c r="I1777" s="1">
        <f>'[1]Electricity and CHPs_CAP'!E$52</f>
        <v>0</v>
      </c>
      <c r="J1777" s="1">
        <f>'[1]Electricity and CHPs_CAP'!F$52</f>
        <v>0</v>
      </c>
      <c r="K1777" s="1">
        <f>'[1]Electricity and CHPs_CAP'!G$52</f>
        <v>0</v>
      </c>
    </row>
    <row r="1778" spans="2:11" x14ac:dyDescent="0.35">
      <c r="B1778" s="5" t="str">
        <f t="shared" si="1156"/>
        <v>SPS1</v>
      </c>
      <c r="C1778" s="5" t="str">
        <f t="shared" si="1156"/>
        <v>CH</v>
      </c>
      <c r="D1778" t="s">
        <v>1814</v>
      </c>
      <c r="E1778" t="str">
        <f t="shared" si="1151"/>
        <v>GWe/yr.</v>
      </c>
      <c r="F1778" s="1">
        <f>'[1]Electricity and CHPs_CAP'!B$54</f>
        <v>7.3512362003509982E-2</v>
      </c>
      <c r="G1778" s="1">
        <f>'[1]Electricity and CHPs_CAP'!C$54</f>
        <v>8.47444154597779E-2</v>
      </c>
      <c r="H1778" s="1">
        <f>'[1]Electricity and CHPs_CAP'!D$54</f>
        <v>8.4744211218139798E-2</v>
      </c>
      <c r="I1778" s="1">
        <f>'[1]Electricity and CHPs_CAP'!E$54</f>
        <v>8.4744874061675204E-2</v>
      </c>
      <c r="J1778" s="1">
        <f>'[1]Electricity and CHPs_CAP'!F$54</f>
        <v>0.16708733616548671</v>
      </c>
      <c r="K1778" s="1">
        <f>'[1]Electricity and CHPs_CAP'!G$54</f>
        <v>0.10101249280652551</v>
      </c>
    </row>
    <row r="1779" spans="2:11" x14ac:dyDescent="0.35">
      <c r="B1779" s="5" t="str">
        <f t="shared" si="1156"/>
        <v>SPS1</v>
      </c>
      <c r="C1779" s="5" t="str">
        <f t="shared" si="1156"/>
        <v>CH</v>
      </c>
      <c r="D1779" t="s">
        <v>1815</v>
      </c>
      <c r="E1779" t="str">
        <f t="shared" si="1151"/>
        <v>GWe/yr.</v>
      </c>
      <c r="F1779" s="1">
        <f>'[1]Electricity and CHPs_CAP'!B$55</f>
        <v>6.5199762810476181E-2</v>
      </c>
      <c r="G1779" s="1">
        <f>'[1]Electricity and CHPs_CAP'!C$55</f>
        <v>4.7880448567434522E-2</v>
      </c>
      <c r="H1779" s="1">
        <f>'[1]Electricity and CHPs_CAP'!D$55</f>
        <v>2.7178143863117801E-2</v>
      </c>
      <c r="I1779" s="1">
        <f>'[1]Electricity and CHPs_CAP'!E$55</f>
        <v>2.7176551125820601E-2</v>
      </c>
      <c r="J1779" s="1">
        <f>'[1]Electricity and CHPs_CAP'!F$55</f>
        <v>1.4090472921714886E-2</v>
      </c>
      <c r="K1779" s="1">
        <f>'[1]Electricity and CHPs_CAP'!G$55</f>
        <v>0</v>
      </c>
    </row>
    <row r="1780" spans="2:11" x14ac:dyDescent="0.35">
      <c r="B1780" s="5" t="str">
        <f t="shared" ref="B1780:C1780" si="1157">B1779</f>
        <v>SPS1</v>
      </c>
      <c r="C1780" s="5" t="str">
        <f t="shared" si="1157"/>
        <v>CH</v>
      </c>
      <c r="D1780" t="s">
        <v>1816</v>
      </c>
      <c r="E1780" t="str">
        <f t="shared" si="1151"/>
        <v>GWe/yr.</v>
      </c>
      <c r="F1780" s="1">
        <f>'[1]Electricity and CHPs_CAP'!B$58</f>
        <v>0</v>
      </c>
      <c r="G1780" s="1">
        <f>'[1]Electricity and CHPs_CAP'!C$58</f>
        <v>0</v>
      </c>
      <c r="H1780" s="1">
        <f>'[1]Electricity and CHPs_CAP'!D$58</f>
        <v>0</v>
      </c>
      <c r="I1780" s="1">
        <f>'[1]Electricity and CHPs_CAP'!E$58</f>
        <v>0</v>
      </c>
      <c r="J1780" s="1">
        <f>'[1]Electricity and CHPs_CAP'!F$58</f>
        <v>0</v>
      </c>
      <c r="K1780" s="1">
        <f>'[1]Electricity and CHPs_CAP'!G$58</f>
        <v>0</v>
      </c>
    </row>
    <row r="1781" spans="2:11" x14ac:dyDescent="0.35">
      <c r="B1781" s="5" t="str">
        <f>B1780</f>
        <v>SPS1</v>
      </c>
      <c r="C1781" s="5" t="str">
        <f>C1780</f>
        <v>CH</v>
      </c>
      <c r="D1781" t="s">
        <v>1817</v>
      </c>
      <c r="E1781" t="str">
        <f t="shared" si="1151"/>
        <v>GWe/yr.</v>
      </c>
      <c r="F1781" s="1">
        <f>SUM(F1782:F1787)</f>
        <v>0.40384859722519956</v>
      </c>
      <c r="G1781" s="1">
        <f t="shared" ref="G1781:K1781" si="1158">SUM(G1782:G1787)</f>
        <v>0.36227609716661135</v>
      </c>
      <c r="H1781" s="1">
        <f t="shared" si="1158"/>
        <v>0.36227565377985022</v>
      </c>
      <c r="I1781" s="1">
        <f t="shared" si="1158"/>
        <v>0.36002796077695037</v>
      </c>
      <c r="J1781" s="1">
        <f t="shared" si="1158"/>
        <v>0.51969873310373149</v>
      </c>
      <c r="K1781" s="1">
        <f t="shared" si="1158"/>
        <v>0.47033191813695496</v>
      </c>
    </row>
    <row r="1782" spans="2:11" x14ac:dyDescent="0.35">
      <c r="B1782" s="5" t="str">
        <f t="shared" ref="B1782:C1787" si="1159">B1781</f>
        <v>SPS1</v>
      </c>
      <c r="C1782" s="5" t="str">
        <f t="shared" si="1159"/>
        <v>CH</v>
      </c>
      <c r="D1782" t="s">
        <v>1818</v>
      </c>
      <c r="E1782" t="str">
        <f t="shared" si="1151"/>
        <v>GWe/yr.</v>
      </c>
      <c r="F1782" s="1">
        <f>'[1]Electricity and CHPs_CAP'!B$19</f>
        <v>0.27651080068735434</v>
      </c>
      <c r="G1782" s="1">
        <f>'[1]Electricity and CHPs_CAP'!C$19</f>
        <v>0.27650963725298439</v>
      </c>
      <c r="H1782" s="1">
        <f>'[1]Electricity and CHPs_CAP'!D$19</f>
        <v>0.27650954087181223</v>
      </c>
      <c r="I1782" s="1">
        <f>'[1]Electricity and CHPs_CAP'!E$19</f>
        <v>0.27599233269968193</v>
      </c>
      <c r="J1782" s="1">
        <f>'[1]Electricity and CHPs_CAP'!F$19</f>
        <v>0.26467578748887233</v>
      </c>
      <c r="K1782" s="1">
        <f>'[1]Electricity and CHPs_CAP'!G$19</f>
        <v>0.18715659277568719</v>
      </c>
    </row>
    <row r="1783" spans="2:11" x14ac:dyDescent="0.35">
      <c r="B1783" s="5" t="str">
        <f t="shared" si="1159"/>
        <v>SPS1</v>
      </c>
      <c r="C1783" s="5" t="str">
        <f t="shared" si="1159"/>
        <v>CH</v>
      </c>
      <c r="D1783" t="s">
        <v>1819</v>
      </c>
      <c r="E1783" t="str">
        <f t="shared" si="1151"/>
        <v>GWe/yr.</v>
      </c>
      <c r="F1783" s="1">
        <f>'[1]Electricity and CHPs_CAP'!B$20</f>
        <v>0</v>
      </c>
      <c r="G1783" s="1">
        <f>'[1]Electricity and CHPs_CAP'!C$20</f>
        <v>0</v>
      </c>
      <c r="H1783" s="1">
        <f>'[1]Electricity and CHPs_CAP'!D$20</f>
        <v>0</v>
      </c>
      <c r="I1783" s="1">
        <f>'[1]Electricity and CHPs_CAP'!E$20</f>
        <v>0</v>
      </c>
      <c r="J1783" s="1">
        <f>'[1]Electricity and CHPs_CAP'!F$20</f>
        <v>0.160721664896192</v>
      </c>
      <c r="K1783" s="1">
        <f>'[1]Electricity and CHPs_CAP'!G$20</f>
        <v>0.16744858744546215</v>
      </c>
    </row>
    <row r="1784" spans="2:11" x14ac:dyDescent="0.35">
      <c r="B1784" s="5" t="str">
        <f t="shared" si="1159"/>
        <v>SPS1</v>
      </c>
      <c r="C1784" s="5" t="str">
        <f t="shared" si="1159"/>
        <v>CH</v>
      </c>
      <c r="D1784" t="s">
        <v>1820</v>
      </c>
      <c r="E1784" t="str">
        <f t="shared" si="1151"/>
        <v>GWe/yr.</v>
      </c>
      <c r="F1784" s="1">
        <f>'[1]Electricity and CHPs_CAP'!B$26</f>
        <v>7.8399999999999997E-2</v>
      </c>
      <c r="G1784" s="1">
        <f>'[1]Electricity and CHPs_CAP'!C$26</f>
        <v>7.2060270774505913E-2</v>
      </c>
      <c r="H1784" s="1">
        <f>'[1]Electricity and CHPs_CAP'!D$26</f>
        <v>7.2059801377161781E-2</v>
      </c>
      <c r="I1784" s="1">
        <f>'[1]Electricity and CHPs_CAP'!E$26</f>
        <v>7.0489751076416654E-2</v>
      </c>
      <c r="J1784" s="1">
        <f>'[1]Electricity and CHPs_CAP'!F$26</f>
        <v>5.0471152967599513E-2</v>
      </c>
      <c r="K1784" s="1">
        <f>'[1]Electricity and CHPs_CAP'!G$26</f>
        <v>2.7831862669734121E-2</v>
      </c>
    </row>
    <row r="1785" spans="2:11" x14ac:dyDescent="0.35">
      <c r="B1785" s="5" t="str">
        <f t="shared" si="1159"/>
        <v>SPS1</v>
      </c>
      <c r="C1785" s="5" t="str">
        <f t="shared" si="1159"/>
        <v>CH</v>
      </c>
      <c r="D1785" t="s">
        <v>1821</v>
      </c>
      <c r="E1785" t="str">
        <f t="shared" si="1151"/>
        <v>GWe/yr.</v>
      </c>
      <c r="F1785" s="1">
        <f>'[1]Electricity and CHPs_CAP'!B$27</f>
        <v>0</v>
      </c>
      <c r="G1785" s="1">
        <f>'[1]Electricity and CHPs_CAP'!C$27</f>
        <v>0</v>
      </c>
      <c r="H1785" s="1">
        <f>'[1]Electricity and CHPs_CAP'!D$27</f>
        <v>0</v>
      </c>
      <c r="I1785" s="1">
        <f>'[1]Electricity and CHPs_CAP'!E$27</f>
        <v>0</v>
      </c>
      <c r="J1785" s="1">
        <f>'[1]Electricity and CHPs_CAP'!F$27</f>
        <v>2.35135907511939E-2</v>
      </c>
      <c r="K1785" s="1">
        <f>'[1]Electricity and CHPs_CAP'!G$27</f>
        <v>3.9275945688945303E-2</v>
      </c>
    </row>
    <row r="1786" spans="2:11" x14ac:dyDescent="0.35">
      <c r="B1786" s="5" t="str">
        <f t="shared" si="1159"/>
        <v>SPS1</v>
      </c>
      <c r="C1786" s="5" t="str">
        <f t="shared" si="1159"/>
        <v>CH</v>
      </c>
      <c r="D1786" t="s">
        <v>1822</v>
      </c>
      <c r="E1786" t="str">
        <f t="shared" si="1151"/>
        <v>GWe/yr.</v>
      </c>
      <c r="F1786" s="1">
        <f>'[1]Electricity and CHPs_CAP'!B$44</f>
        <v>4.8937796537845191E-2</v>
      </c>
      <c r="G1786" s="1">
        <f>'[1]Electricity and CHPs_CAP'!C$44</f>
        <v>1.3706189139121007E-2</v>
      </c>
      <c r="H1786" s="1">
        <f>'[1]Electricity and CHPs_CAP'!D$44</f>
        <v>1.3706311530876217E-2</v>
      </c>
      <c r="I1786" s="1">
        <f>'[1]Electricity and CHPs_CAP'!E$44</f>
        <v>1.3545877000851778E-2</v>
      </c>
      <c r="J1786" s="1">
        <f>'[1]Electricity and CHPs_CAP'!F$44</f>
        <v>1.2588528722326887E-2</v>
      </c>
      <c r="K1786" s="1">
        <f>'[1]Electricity and CHPs_CAP'!G$44</f>
        <v>5.6365471287610561E-5</v>
      </c>
    </row>
    <row r="1787" spans="2:11" x14ac:dyDescent="0.35">
      <c r="B1787" s="5" t="str">
        <f t="shared" si="1159"/>
        <v>SPS1</v>
      </c>
      <c r="C1787" s="5" t="str">
        <f t="shared" si="1159"/>
        <v>CH</v>
      </c>
      <c r="D1787" t="s">
        <v>1823</v>
      </c>
      <c r="E1787" t="str">
        <f t="shared" si="1151"/>
        <v>GWe/yr.</v>
      </c>
      <c r="F1787" s="1">
        <f>'[1]Electricity and CHPs_CAP'!B$45</f>
        <v>0</v>
      </c>
      <c r="G1787" s="1">
        <f>'[1]Electricity and CHPs_CAP'!C$45</f>
        <v>0</v>
      </c>
      <c r="H1787" s="1">
        <f>'[1]Electricity and CHPs_CAP'!D$45</f>
        <v>0</v>
      </c>
      <c r="I1787" s="1">
        <f>'[1]Electricity and CHPs_CAP'!E$45</f>
        <v>0</v>
      </c>
      <c r="J1787" s="1">
        <f>'[1]Electricity and CHPs_CAP'!F$45</f>
        <v>7.7280082775468203E-3</v>
      </c>
      <c r="K1787" s="1">
        <f>'[1]Electricity and CHPs_CAP'!G$45</f>
        <v>4.8562564085838526E-2</v>
      </c>
    </row>
    <row r="1788" spans="2:11" x14ac:dyDescent="0.35">
      <c r="B1788" s="5" t="str">
        <f>B1787</f>
        <v>SPS1</v>
      </c>
      <c r="C1788" s="5" t="str">
        <f>C1787</f>
        <v>CH</v>
      </c>
      <c r="D1788" t="s">
        <v>1824</v>
      </c>
      <c r="E1788" t="str">
        <f t="shared" si="1151"/>
        <v>GWe/yr.</v>
      </c>
      <c r="F1788" s="1">
        <f>SUM(F1789:F1795)</f>
        <v>1.9486736636891058E-2</v>
      </c>
      <c r="G1788" s="1">
        <f t="shared" ref="G1788:K1788" si="1160">SUM(G1789:G1795)</f>
        <v>1.9309170001883542E-2</v>
      </c>
      <c r="H1788" s="1">
        <f t="shared" si="1160"/>
        <v>4.1579867465076685E-2</v>
      </c>
      <c r="I1788" s="1">
        <f t="shared" si="1160"/>
        <v>0.10886728903522275</v>
      </c>
      <c r="J1788" s="1">
        <f t="shared" si="1160"/>
        <v>0.25172391203756606</v>
      </c>
      <c r="K1788" s="1">
        <f t="shared" si="1160"/>
        <v>0.27095910107927623</v>
      </c>
    </row>
    <row r="1789" spans="2:11" x14ac:dyDescent="0.35">
      <c r="B1789" s="5" t="str">
        <f t="shared" ref="B1789:C1799" si="1161">B1788</f>
        <v>SPS1</v>
      </c>
      <c r="C1789" s="5" t="str">
        <f t="shared" si="1161"/>
        <v>CH</v>
      </c>
      <c r="D1789" t="s">
        <v>1825</v>
      </c>
      <c r="E1789" t="str">
        <f t="shared" si="1151"/>
        <v>GWe/yr.</v>
      </c>
      <c r="F1789" s="1">
        <f>'[1]Electricity and CHPs_CAP'!B$25</f>
        <v>1.30448508637864E-2</v>
      </c>
      <c r="G1789" s="1">
        <f>'[1]Electricity and CHPs_CAP'!C$25</f>
        <v>2.1397878159655492E-5</v>
      </c>
      <c r="H1789" s="1">
        <f>'[1]Electricity and CHPs_CAP'!D$25</f>
        <v>4.6851315142745764E-5</v>
      </c>
      <c r="I1789" s="1">
        <f>'[1]Electricity and CHPs_CAP'!E$25</f>
        <v>4.0028894299357499E-2</v>
      </c>
      <c r="J1789" s="1">
        <f>'[1]Electricity and CHPs_CAP'!F$25</f>
        <v>0.10381522921316501</v>
      </c>
      <c r="K1789" s="1">
        <f>'[1]Electricity and CHPs_CAP'!G$25</f>
        <v>8.0341130658293847E-2</v>
      </c>
    </row>
    <row r="1790" spans="2:11" x14ac:dyDescent="0.35">
      <c r="B1790" s="5" t="str">
        <f t="shared" si="1161"/>
        <v>SPS1</v>
      </c>
      <c r="C1790" s="5" t="str">
        <f t="shared" si="1161"/>
        <v>CH</v>
      </c>
      <c r="D1790" t="s">
        <v>1826</v>
      </c>
      <c r="E1790" t="str">
        <f t="shared" si="1151"/>
        <v>GWe/yr.</v>
      </c>
      <c r="F1790" s="1">
        <f>'[1]Electricity and CHPs_CAP'!B$31</f>
        <v>0</v>
      </c>
      <c r="G1790" s="1">
        <f>'[1]Electricity and CHPs_CAP'!C$31</f>
        <v>0</v>
      </c>
      <c r="H1790" s="1">
        <f>'[1]Electricity and CHPs_CAP'!D$31</f>
        <v>0</v>
      </c>
      <c r="I1790" s="1">
        <f>'[1]Electricity and CHPs_CAP'!E$31</f>
        <v>0</v>
      </c>
      <c r="J1790" s="1">
        <f>'[1]Electricity and CHPs_CAP'!F$31</f>
        <v>4.0359609894881402E-5</v>
      </c>
      <c r="K1790" s="1">
        <f>'[1]Electricity and CHPs_CAP'!G$31</f>
        <v>8.6085044066830127E-5</v>
      </c>
    </row>
    <row r="1791" spans="2:11" x14ac:dyDescent="0.35">
      <c r="B1791" s="5" t="str">
        <f t="shared" si="1161"/>
        <v>SPS1</v>
      </c>
      <c r="C1791" s="5" t="str">
        <f t="shared" si="1161"/>
        <v>CH</v>
      </c>
      <c r="D1791" t="s">
        <v>1827</v>
      </c>
      <c r="E1791" t="str">
        <f t="shared" si="1151"/>
        <v>GWe/yr.</v>
      </c>
      <c r="F1791" s="1">
        <f>'[1]Electricity and CHPs_CAP'!B$42</f>
        <v>6.4418857731046598E-3</v>
      </c>
      <c r="G1791" s="1">
        <f>'[1]Electricity and CHPs_CAP'!C$42</f>
        <v>1.9287772123723887E-2</v>
      </c>
      <c r="H1791" s="1">
        <f>'[1]Electricity and CHPs_CAP'!D$42</f>
        <v>4.1533016149933939E-2</v>
      </c>
      <c r="I1791" s="1">
        <f>'[1]Electricity and CHPs_CAP'!E$42</f>
        <v>6.8588135530205596E-2</v>
      </c>
      <c r="J1791" s="1">
        <f>'[1]Electricity and CHPs_CAP'!F$42</f>
        <v>7.9472250473914499E-2</v>
      </c>
      <c r="K1791" s="1">
        <f>'[1]Electricity and CHPs_CAP'!G$42</f>
        <v>8.1820670821050281E-2</v>
      </c>
    </row>
    <row r="1792" spans="2:11" x14ac:dyDescent="0.35">
      <c r="B1792" s="5" t="str">
        <f t="shared" si="1161"/>
        <v>SPS1</v>
      </c>
      <c r="C1792" s="5" t="str">
        <f t="shared" si="1161"/>
        <v>CH</v>
      </c>
      <c r="D1792" t="s">
        <v>1828</v>
      </c>
      <c r="E1792" t="str">
        <f t="shared" si="1151"/>
        <v>GWe/yr.</v>
      </c>
      <c r="F1792" s="1">
        <f>'[1]Electricity and CHPs_CAP'!B$43</f>
        <v>0</v>
      </c>
      <c r="G1792" s="1">
        <f>'[1]Electricity and CHPs_CAP'!C$43</f>
        <v>0</v>
      </c>
      <c r="H1792" s="1">
        <f>'[1]Electricity and CHPs_CAP'!D$43</f>
        <v>0</v>
      </c>
      <c r="I1792" s="1">
        <f>'[1]Electricity and CHPs_CAP'!E$43</f>
        <v>0</v>
      </c>
      <c r="J1792" s="1">
        <f>'[1]Electricity and CHPs_CAP'!F$43</f>
        <v>4.1521634053384701E-2</v>
      </c>
      <c r="K1792" s="1">
        <f>'[1]Electricity and CHPs_CAP'!G$43</f>
        <v>9.1235642382451701E-2</v>
      </c>
    </row>
    <row r="1793" spans="2:11" x14ac:dyDescent="0.35">
      <c r="B1793" s="5" t="str">
        <f t="shared" si="1161"/>
        <v>SPS1</v>
      </c>
      <c r="C1793" s="5" t="str">
        <f t="shared" si="1161"/>
        <v>CH</v>
      </c>
      <c r="D1793" t="s">
        <v>1829</v>
      </c>
      <c r="E1793" t="str">
        <f t="shared" si="1151"/>
        <v>GWe/yr.</v>
      </c>
      <c r="F1793" s="1">
        <f>'[1]Electricity and CHPs_CAP'!B$50</f>
        <v>0</v>
      </c>
      <c r="G1793" s="1">
        <f>'[1]Electricity and CHPs_CAP'!C$50</f>
        <v>0</v>
      </c>
      <c r="H1793" s="1">
        <f>'[1]Electricity and CHPs_CAP'!D$50</f>
        <v>0</v>
      </c>
      <c r="I1793" s="1">
        <f>'[1]Electricity and CHPs_CAP'!E$50</f>
        <v>5.5679993887895195E-5</v>
      </c>
      <c r="J1793" s="1">
        <f>'[1]Electricity and CHPs_CAP'!F$50</f>
        <v>1.4014552417051219E-4</v>
      </c>
      <c r="K1793" s="1">
        <f>'[1]Electricity and CHPs_CAP'!G$50</f>
        <v>6.3026597577937725E-5</v>
      </c>
    </row>
    <row r="1794" spans="2:11" x14ac:dyDescent="0.35">
      <c r="B1794" s="5" t="str">
        <f t="shared" si="1161"/>
        <v>SPS1</v>
      </c>
      <c r="C1794" s="5" t="str">
        <f t="shared" si="1161"/>
        <v>CH</v>
      </c>
      <c r="D1794" t="s">
        <v>1830</v>
      </c>
      <c r="E1794" t="str">
        <f t="shared" si="1151"/>
        <v>GWe/yr.</v>
      </c>
      <c r="F1794" s="1">
        <f>'[1]Electricity and CHPs_CAP'!B$53</f>
        <v>0</v>
      </c>
      <c r="G1794" s="1">
        <f>'[1]Electricity and CHPs_CAP'!C$53</f>
        <v>0</v>
      </c>
      <c r="H1794" s="1">
        <f>'[1]Electricity and CHPs_CAP'!D$53</f>
        <v>0</v>
      </c>
      <c r="I1794" s="1">
        <f>'[1]Electricity and CHPs_CAP'!E$53</f>
        <v>1.5562270657421831E-4</v>
      </c>
      <c r="J1794" s="1">
        <f>'[1]Electricity and CHPs_CAP'!F$53</f>
        <v>2.665949502493583E-2</v>
      </c>
      <c r="K1794" s="1">
        <f>'[1]Electricity and CHPs_CAP'!G$53</f>
        <v>1.7378441071214681E-2</v>
      </c>
    </row>
    <row r="1795" spans="2:11" x14ac:dyDescent="0.35">
      <c r="B1795" s="5" t="str">
        <f t="shared" si="1161"/>
        <v>SPS1</v>
      </c>
      <c r="C1795" s="5" t="str">
        <f t="shared" si="1161"/>
        <v>CH</v>
      </c>
      <c r="D1795" t="s">
        <v>1831</v>
      </c>
      <c r="E1795" t="str">
        <f t="shared" si="1151"/>
        <v>GWe/yr.</v>
      </c>
      <c r="F1795" s="1">
        <f>'[1]Electricity and CHPs_CAP'!B$56</f>
        <v>0</v>
      </c>
      <c r="G1795" s="1">
        <f>'[1]Electricity and CHPs_CAP'!C$56</f>
        <v>0</v>
      </c>
      <c r="H1795" s="1">
        <f>'[1]Electricity and CHPs_CAP'!D$56</f>
        <v>0</v>
      </c>
      <c r="I1795" s="1">
        <f>'[1]Electricity and CHPs_CAP'!E$56</f>
        <v>3.8956505197546101E-5</v>
      </c>
      <c r="J1795" s="1">
        <f>'[1]Electricity and CHPs_CAP'!F$56</f>
        <v>7.4798138100615725E-5</v>
      </c>
      <c r="K1795" s="1">
        <f>'[1]Electricity and CHPs_CAP'!G$56</f>
        <v>3.410450462092979E-5</v>
      </c>
    </row>
    <row r="1796" spans="2:11" x14ac:dyDescent="0.35">
      <c r="B1796" s="5" t="str">
        <f t="shared" si="1161"/>
        <v>SPS1</v>
      </c>
      <c r="C1796" s="5" t="str">
        <f t="shared" si="1161"/>
        <v>CH</v>
      </c>
      <c r="D1796" t="s">
        <v>1832</v>
      </c>
      <c r="E1796" t="str">
        <f t="shared" si="1151"/>
        <v>GWe/yr.</v>
      </c>
      <c r="F1796" s="1">
        <f>F1797</f>
        <v>8.7120000000000003E-2</v>
      </c>
      <c r="G1796" s="1">
        <f t="shared" ref="G1796:K1796" si="1162">G1797</f>
        <v>9.0660002170798351E-2</v>
      </c>
      <c r="H1796" s="1">
        <f t="shared" si="1162"/>
        <v>8.3655919664727352E-2</v>
      </c>
      <c r="I1796" s="1">
        <f t="shared" si="1162"/>
        <v>0.34087561369948233</v>
      </c>
      <c r="J1796" s="1">
        <f t="shared" si="1162"/>
        <v>0.58570421775732773</v>
      </c>
      <c r="K1796" s="1">
        <f t="shared" si="1162"/>
        <v>2.3447320174785999</v>
      </c>
    </row>
    <row r="1797" spans="2:11" x14ac:dyDescent="0.35">
      <c r="B1797" s="5" t="str">
        <f t="shared" si="1161"/>
        <v>SPS1</v>
      </c>
      <c r="C1797" s="5" t="str">
        <f t="shared" si="1161"/>
        <v>CH</v>
      </c>
      <c r="D1797" t="s">
        <v>1833</v>
      </c>
      <c r="E1797" t="str">
        <f t="shared" si="1151"/>
        <v>GWe/yr.</v>
      </c>
      <c r="F1797" s="1">
        <f>'[1]Electricity and CHPs_CAP'!B$33</f>
        <v>8.7120000000000003E-2</v>
      </c>
      <c r="G1797" s="1">
        <f>'[1]Electricity and CHPs_CAP'!C$33</f>
        <v>9.0660002170798351E-2</v>
      </c>
      <c r="H1797" s="1">
        <f>'[1]Electricity and CHPs_CAP'!D$33</f>
        <v>8.3655919664727352E-2</v>
      </c>
      <c r="I1797" s="1">
        <f>'[1]Electricity and CHPs_CAP'!E$33</f>
        <v>0.34087561369948233</v>
      </c>
      <c r="J1797" s="1">
        <f>'[1]Electricity and CHPs_CAP'!F$33</f>
        <v>0.58570421775732773</v>
      </c>
      <c r="K1797" s="1">
        <f>'[1]Electricity and CHPs_CAP'!G$33</f>
        <v>2.3447320174785999</v>
      </c>
    </row>
    <row r="1798" spans="2:11" x14ac:dyDescent="0.35">
      <c r="B1798" s="5" t="str">
        <f t="shared" si="1161"/>
        <v>SPS1</v>
      </c>
      <c r="C1798" s="5" t="str">
        <f t="shared" si="1161"/>
        <v>CH</v>
      </c>
      <c r="D1798" t="s">
        <v>1834</v>
      </c>
      <c r="E1798" t="str">
        <f t="shared" si="1151"/>
        <v>GWe/yr.</v>
      </c>
      <c r="F1798" s="1">
        <f>SUM(F1799:F1803)</f>
        <v>2.9746549999999998</v>
      </c>
      <c r="G1798" s="1">
        <f t="shared" ref="G1798:K1798" si="1163">SUM(G1799:G1803)</f>
        <v>4.3708746670247489</v>
      </c>
      <c r="H1798" s="1">
        <f t="shared" si="1163"/>
        <v>9.1888880766183547</v>
      </c>
      <c r="I1798" s="1">
        <f t="shared" si="1163"/>
        <v>10.206538302710491</v>
      </c>
      <c r="J1798" s="1">
        <f t="shared" si="1163"/>
        <v>21.834117710762186</v>
      </c>
      <c r="K1798" s="1">
        <f t="shared" si="1163"/>
        <v>30.478010330073189</v>
      </c>
    </row>
    <row r="1799" spans="2:11" x14ac:dyDescent="0.35">
      <c r="B1799" s="5" t="str">
        <f t="shared" si="1161"/>
        <v>SPS1</v>
      </c>
      <c r="C1799" s="5" t="str">
        <f t="shared" si="1161"/>
        <v>CH</v>
      </c>
      <c r="D1799" t="s">
        <v>1835</v>
      </c>
      <c r="E1799" t="str">
        <f t="shared" si="1151"/>
        <v>GWe/yr.</v>
      </c>
      <c r="F1799" s="1">
        <f>'[1]Electricity and CHPs_CAP'!B$34</f>
        <v>0</v>
      </c>
      <c r="G1799" s="1">
        <f>'[1]Electricity and CHPs_CAP'!C$34</f>
        <v>0</v>
      </c>
      <c r="H1799" s="1">
        <f>'[1]Electricity and CHPs_CAP'!D$34</f>
        <v>4.4925556050438402E-2</v>
      </c>
      <c r="I1799" s="1">
        <f>'[1]Electricity and CHPs_CAP'!E$34</f>
        <v>6.862403629500935E-2</v>
      </c>
      <c r="J1799" s="1">
        <f>'[1]Electricity and CHPs_CAP'!F$34</f>
        <v>0.73266773322565504</v>
      </c>
      <c r="K1799" s="1">
        <f>'[1]Electricity and CHPs_CAP'!G$34</f>
        <v>2.1169261099478183</v>
      </c>
    </row>
    <row r="1800" spans="2:11" x14ac:dyDescent="0.35">
      <c r="B1800" s="5" t="str">
        <f t="shared" ref="B1800:C1815" si="1164">B1799</f>
        <v>SPS1</v>
      </c>
      <c r="C1800" s="5" t="str">
        <f t="shared" si="1164"/>
        <v>CH</v>
      </c>
      <c r="D1800" t="s">
        <v>1836</v>
      </c>
      <c r="E1800" t="str">
        <f t="shared" si="1151"/>
        <v>GWe/yr.</v>
      </c>
      <c r="F1800" s="1">
        <f>'[1]Electricity and CHPs_CAP'!B$35</f>
        <v>1.1186210000000001</v>
      </c>
      <c r="G1800" s="1">
        <f>'[1]Electricity and CHPs_CAP'!C$35</f>
        <v>1.65292701458705</v>
      </c>
      <c r="H1800" s="1">
        <f>'[1]Electricity and CHPs_CAP'!D$35</f>
        <v>3.5611866466322102</v>
      </c>
      <c r="I1800" s="1">
        <f>'[1]Electricity and CHPs_CAP'!E$35</f>
        <v>4.6883132193422696</v>
      </c>
      <c r="J1800" s="1">
        <f>'[1]Electricity and CHPs_CAP'!F$35</f>
        <v>11.775186380271037</v>
      </c>
      <c r="K1800" s="1">
        <f>'[1]Electricity and CHPs_CAP'!G$35</f>
        <v>18.551706601104499</v>
      </c>
    </row>
    <row r="1801" spans="2:11" x14ac:dyDescent="0.35">
      <c r="B1801" s="5" t="str">
        <f t="shared" si="1164"/>
        <v>SPS1</v>
      </c>
      <c r="C1801" s="5" t="str">
        <f t="shared" si="1164"/>
        <v>CH</v>
      </c>
      <c r="D1801" t="s">
        <v>1837</v>
      </c>
      <c r="E1801" t="str">
        <f t="shared" si="1151"/>
        <v>GWe/yr.</v>
      </c>
      <c r="F1801" s="1">
        <f>'[1]Electricity and CHPs_CAP'!B$36</f>
        <v>0.67885700000000004</v>
      </c>
      <c r="G1801" s="1">
        <f>'[1]Electricity and CHPs_CAP'!C$36</f>
        <v>1.1559004994492799</v>
      </c>
      <c r="H1801" s="1">
        <f>'[1]Electricity and CHPs_CAP'!D$36</f>
        <v>1.2896189200442409</v>
      </c>
      <c r="I1801" s="1">
        <f>'[1]Electricity and CHPs_CAP'!E$36</f>
        <v>1.2527368197581847</v>
      </c>
      <c r="J1801" s="1">
        <f>'[1]Electricity and CHPs_CAP'!F$36</f>
        <v>0.44680653365175199</v>
      </c>
      <c r="K1801" s="1">
        <f>'[1]Electricity and CHPs_CAP'!G$36</f>
        <v>9.3142927614562395E-4</v>
      </c>
    </row>
    <row r="1802" spans="2:11" x14ac:dyDescent="0.35">
      <c r="B1802" s="5" t="str">
        <f t="shared" si="1164"/>
        <v>SPS1</v>
      </c>
      <c r="C1802" s="5" t="str">
        <f t="shared" si="1164"/>
        <v>CH</v>
      </c>
      <c r="D1802" t="s">
        <v>1838</v>
      </c>
      <c r="E1802" t="str">
        <f t="shared" si="1151"/>
        <v>GWe/yr.</v>
      </c>
      <c r="F1802" s="1">
        <f>'[1]Electricity and CHPs_CAP'!B$37</f>
        <v>0.27424799999999999</v>
      </c>
      <c r="G1802" s="1">
        <f>'[1]Electricity and CHPs_CAP'!C$37</f>
        <v>0.43894589142040896</v>
      </c>
      <c r="H1802" s="1">
        <f>'[1]Electricity and CHPs_CAP'!D$37</f>
        <v>1.1132115570888459</v>
      </c>
      <c r="I1802" s="1">
        <f>'[1]Electricity and CHPs_CAP'!E$37</f>
        <v>1.1014879662231989</v>
      </c>
      <c r="J1802" s="1">
        <f>'[1]Electricity and CHPs_CAP'!F$37</f>
        <v>1.2167335834836739</v>
      </c>
      <c r="K1802" s="1">
        <f>'[1]Electricity and CHPs_CAP'!G$37</f>
        <v>1.344031470152433</v>
      </c>
    </row>
    <row r="1803" spans="2:11" x14ac:dyDescent="0.35">
      <c r="B1803" s="5" t="str">
        <f t="shared" si="1164"/>
        <v>SPS1</v>
      </c>
      <c r="C1803" s="5" t="str">
        <f t="shared" si="1164"/>
        <v>CH</v>
      </c>
      <c r="D1803" t="s">
        <v>1839</v>
      </c>
      <c r="E1803" t="str">
        <f t="shared" si="1151"/>
        <v>GWe/yr.</v>
      </c>
      <c r="F1803" s="1">
        <f>'[1]Electricity and CHPs_CAP'!B$38</f>
        <v>0.90292899999999998</v>
      </c>
      <c r="G1803" s="1">
        <f>'[1]Electricity and CHPs_CAP'!C$38</f>
        <v>1.12310126156801</v>
      </c>
      <c r="H1803" s="1">
        <f>'[1]Electricity and CHPs_CAP'!D$38</f>
        <v>3.1799453968026201</v>
      </c>
      <c r="I1803" s="1">
        <f>'[1]Electricity and CHPs_CAP'!E$38</f>
        <v>3.0953762610918298</v>
      </c>
      <c r="J1803" s="1">
        <f>'[1]Electricity and CHPs_CAP'!F$38</f>
        <v>7.6627234801300688</v>
      </c>
      <c r="K1803" s="1">
        <f>'[1]Electricity and CHPs_CAP'!G$38</f>
        <v>8.4644147195922894</v>
      </c>
    </row>
    <row r="1804" spans="2:11" x14ac:dyDescent="0.35">
      <c r="B1804" s="5" t="str">
        <f>B1807</f>
        <v>SPS1</v>
      </c>
      <c r="C1804" s="5" t="str">
        <f>C1807</f>
        <v>CH</v>
      </c>
      <c r="D1804" t="s">
        <v>1840</v>
      </c>
      <c r="E1804" t="str">
        <f t="shared" si="1151"/>
        <v>GWe/yr.</v>
      </c>
      <c r="F1804" s="1">
        <f>'[1]Electricity and CHPs_CAP'!B$32</f>
        <v>0</v>
      </c>
      <c r="G1804" s="1">
        <f>'[1]Electricity and CHPs_CAP'!C$32</f>
        <v>0</v>
      </c>
      <c r="H1804" s="1">
        <f>'[1]Electricity and CHPs_CAP'!D$32</f>
        <v>0</v>
      </c>
      <c r="I1804" s="1">
        <f>'[1]Electricity and CHPs_CAP'!E$32</f>
        <v>0</v>
      </c>
      <c r="J1804" s="1">
        <f>'[1]Electricity and CHPs_CAP'!F$32</f>
        <v>3.3269956451800202E-3</v>
      </c>
      <c r="K1804" s="1">
        <f>'[1]Electricity and CHPs_CAP'!G$32</f>
        <v>0.12726761607666789</v>
      </c>
    </row>
    <row r="1805" spans="2:11" x14ac:dyDescent="0.35">
      <c r="B1805" s="5" t="str">
        <f t="shared" ref="B1805:C1805" si="1165">B1804</f>
        <v>SPS1</v>
      </c>
      <c r="C1805" s="5" t="str">
        <f t="shared" si="1165"/>
        <v>CH</v>
      </c>
      <c r="D1805" t="s">
        <v>1841</v>
      </c>
      <c r="E1805" t="str">
        <f t="shared" si="1151"/>
        <v>GWe/yr.</v>
      </c>
      <c r="F1805" s="1">
        <f>F1804</f>
        <v>0</v>
      </c>
      <c r="G1805" s="1">
        <f t="shared" ref="G1805:K1805" si="1166">G1804</f>
        <v>0</v>
      </c>
      <c r="H1805" s="1">
        <f t="shared" si="1166"/>
        <v>0</v>
      </c>
      <c r="I1805" s="1">
        <f t="shared" si="1166"/>
        <v>0</v>
      </c>
      <c r="J1805" s="1">
        <f t="shared" si="1166"/>
        <v>3.3269956451800202E-3</v>
      </c>
      <c r="K1805" s="1">
        <f t="shared" si="1166"/>
        <v>0.12726761607666789</v>
      </c>
    </row>
    <row r="1806" spans="2:11" x14ac:dyDescent="0.35">
      <c r="B1806" s="5" t="str">
        <f>B1803</f>
        <v>SPS1</v>
      </c>
      <c r="C1806" s="5" t="str">
        <f>C1803</f>
        <v>CH</v>
      </c>
      <c r="D1806" t="s">
        <v>1842</v>
      </c>
      <c r="E1806" t="str">
        <f t="shared" si="1151"/>
        <v>GWe/yr.</v>
      </c>
      <c r="F1806" s="1">
        <f t="shared" ref="F1806:K1806" si="1167">SUM(F1807:F1809)</f>
        <v>0</v>
      </c>
      <c r="G1806" s="1">
        <f t="shared" si="1167"/>
        <v>0</v>
      </c>
      <c r="H1806" s="1">
        <f t="shared" si="1167"/>
        <v>0</v>
      </c>
      <c r="I1806" s="1">
        <f t="shared" si="1167"/>
        <v>1.6867747610114418E-4</v>
      </c>
      <c r="J1806" s="1">
        <f t="shared" si="1167"/>
        <v>6.1511169148263801E-2</v>
      </c>
      <c r="K1806" s="1">
        <f t="shared" si="1167"/>
        <v>6.6611721782623617E-2</v>
      </c>
    </row>
    <row r="1807" spans="2:11" x14ac:dyDescent="0.35">
      <c r="B1807" s="5" t="str">
        <f t="shared" si="1164"/>
        <v>SPS1</v>
      </c>
      <c r="C1807" s="5" t="str">
        <f t="shared" si="1164"/>
        <v>CH</v>
      </c>
      <c r="D1807" t="s">
        <v>1843</v>
      </c>
      <c r="E1807" t="str">
        <f t="shared" si="1151"/>
        <v>GWe/yr.</v>
      </c>
      <c r="F1807" s="1">
        <f>'[1]Electricity and CHPs_CAP'!B$30</f>
        <v>0</v>
      </c>
      <c r="G1807" s="1">
        <f>'[1]Electricity and CHPs_CAP'!C$30</f>
        <v>0</v>
      </c>
      <c r="H1807" s="1">
        <f>'[1]Electricity and CHPs_CAP'!D$30</f>
        <v>0</v>
      </c>
      <c r="I1807" s="1">
        <f>'[1]Electricity and CHPs_CAP'!E$30</f>
        <v>0</v>
      </c>
      <c r="J1807" s="1">
        <f>'[1]Electricity and CHPs_CAP'!F$30</f>
        <v>1.8005382231585699E-2</v>
      </c>
      <c r="K1807" s="1">
        <f>'[1]Electricity and CHPs_CAP'!G$30</f>
        <v>1.800536124844599E-2</v>
      </c>
    </row>
    <row r="1808" spans="2:11" x14ac:dyDescent="0.35">
      <c r="B1808" s="5" t="str">
        <f>B1804</f>
        <v>SPS1</v>
      </c>
      <c r="C1808" s="5" t="str">
        <f>C1804</f>
        <v>CH</v>
      </c>
      <c r="D1808" t="s">
        <v>1844</v>
      </c>
      <c r="E1808" t="str">
        <f t="shared" si="1151"/>
        <v>GWe/yr.</v>
      </c>
      <c r="F1808" s="1">
        <f>'[1]Electricity and CHPs_CAP'!B$46</f>
        <v>0</v>
      </c>
      <c r="G1808" s="1">
        <f>'[1]Electricity and CHPs_CAP'!C$46</f>
        <v>0</v>
      </c>
      <c r="H1808" s="1">
        <f>'[1]Electricity and CHPs_CAP'!D$46</f>
        <v>0</v>
      </c>
      <c r="I1808" s="1">
        <f>'[1]Electricity and CHPs_CAP'!E$46</f>
        <v>1.35566597677287E-4</v>
      </c>
      <c r="J1808" s="1">
        <f>'[1]Electricity and CHPs_CAP'!F$46</f>
        <v>4.1934901469671333E-2</v>
      </c>
      <c r="K1808" s="1">
        <f>'[1]Electricity and CHPs_CAP'!G$46</f>
        <v>4.7490413530512789E-2</v>
      </c>
    </row>
    <row r="1809" spans="2:11" x14ac:dyDescent="0.35">
      <c r="B1809" s="5" t="str">
        <f t="shared" si="1164"/>
        <v>SPS1</v>
      </c>
      <c r="C1809" s="5" t="str">
        <f t="shared" si="1164"/>
        <v>CH</v>
      </c>
      <c r="D1809" t="s">
        <v>1845</v>
      </c>
      <c r="E1809" t="str">
        <f t="shared" si="1151"/>
        <v>GWe/yr.</v>
      </c>
      <c r="F1809" s="1">
        <f>'[1]Electricity and CHPs_CAP'!B$57</f>
        <v>0</v>
      </c>
      <c r="G1809" s="1">
        <f>'[1]Electricity and CHPs_CAP'!C$57</f>
        <v>0</v>
      </c>
      <c r="H1809" s="1">
        <f>'[1]Electricity and CHPs_CAP'!D$57</f>
        <v>0</v>
      </c>
      <c r="I1809" s="1">
        <f>'[1]Electricity and CHPs_CAP'!E$57</f>
        <v>3.3110878423857199E-5</v>
      </c>
      <c r="J1809" s="1">
        <f>'[1]Electricity and CHPs_CAP'!F$57</f>
        <v>1.5708854470067651E-3</v>
      </c>
      <c r="K1809" s="1">
        <f>'[1]Electricity and CHPs_CAP'!G$57</f>
        <v>1.1159470036648368E-3</v>
      </c>
    </row>
    <row r="1810" spans="2:11" x14ac:dyDescent="0.35">
      <c r="B1810" s="5" t="str">
        <f t="shared" si="1164"/>
        <v>SPS1</v>
      </c>
      <c r="C1810" s="5" t="str">
        <f t="shared" si="1164"/>
        <v>CH</v>
      </c>
      <c r="D1810" t="s">
        <v>1846</v>
      </c>
      <c r="E1810" t="str">
        <f t="shared" si="1151"/>
        <v>GWe/yr.</v>
      </c>
      <c r="F1810" s="1">
        <f>SUM(F1811:F1817)</f>
        <v>0.10217692753707057</v>
      </c>
      <c r="G1810" s="1">
        <f t="shared" ref="G1810:K1810" si="1168">SUM(G1811:G1817)</f>
        <v>0.10217765307899448</v>
      </c>
      <c r="H1810" s="1">
        <f t="shared" si="1168"/>
        <v>0.10218668255423066</v>
      </c>
      <c r="I1810" s="1">
        <f t="shared" si="1168"/>
        <v>0.20966643970789048</v>
      </c>
      <c r="J1810" s="1">
        <f t="shared" si="1168"/>
        <v>0.56785567406665938</v>
      </c>
      <c r="K1810" s="1">
        <f t="shared" si="1168"/>
        <v>1.4064846290866286</v>
      </c>
    </row>
    <row r="1811" spans="2:11" x14ac:dyDescent="0.35">
      <c r="B1811" s="5" t="str">
        <f t="shared" si="1164"/>
        <v>SPS1</v>
      </c>
      <c r="C1811" s="5" t="str">
        <f t="shared" si="1164"/>
        <v>CH</v>
      </c>
      <c r="D1811" t="s">
        <v>1847</v>
      </c>
      <c r="E1811" t="str">
        <f t="shared" si="1151"/>
        <v>GWe/yr.</v>
      </c>
      <c r="F1811" s="1">
        <f>'[1]Electricity and CHPs_CAP'!B$63</f>
        <v>0.1</v>
      </c>
      <c r="G1811" s="1">
        <f>'[1]Electricity and CHPs_CAP'!C$63</f>
        <v>9.9998763887707426E-2</v>
      </c>
      <c r="H1811" s="1">
        <f>'[1]Electricity and CHPs_CAP'!D$63</f>
        <v>9.999855486009944E-2</v>
      </c>
      <c r="I1811" s="1">
        <f>'[1]Electricity and CHPs_CAP'!E$63</f>
        <v>9.9998460443221762E-2</v>
      </c>
      <c r="J1811" s="1">
        <f>'[1]Electricity and CHPs_CAP'!F$63</f>
        <v>9.9999075428334402E-2</v>
      </c>
      <c r="K1811" s="1">
        <f>'[1]Electricity and CHPs_CAP'!G$63</f>
        <v>9.9999446747895751E-2</v>
      </c>
    </row>
    <row r="1812" spans="2:11" x14ac:dyDescent="0.35">
      <c r="B1812" s="5" t="str">
        <f t="shared" si="1164"/>
        <v>SPS1</v>
      </c>
      <c r="C1812" s="5" t="str">
        <f t="shared" si="1164"/>
        <v>CH</v>
      </c>
      <c r="D1812" t="s">
        <v>1848</v>
      </c>
      <c r="E1812" t="str">
        <f t="shared" si="1151"/>
        <v>GWe/yr.</v>
      </c>
      <c r="F1812" s="1">
        <f>'[1]Electricity and CHPs_CAP'!B$64</f>
        <v>3.6959549270204899E-4</v>
      </c>
      <c r="G1812" s="1">
        <f>'[1]Electricity and CHPs_CAP'!C$64</f>
        <v>3.6984478413141819E-4</v>
      </c>
      <c r="H1812" s="1">
        <f>'[1]Electricity and CHPs_CAP'!D$64</f>
        <v>3.7187536340044892E-4</v>
      </c>
      <c r="I1812" s="1">
        <f>'[1]Electricity and CHPs_CAP'!E$64</f>
        <v>3.2596283921430477E-4</v>
      </c>
      <c r="J1812" s="1">
        <f>'[1]Electricity and CHPs_CAP'!F$64</f>
        <v>0.22747719134165206</v>
      </c>
      <c r="K1812" s="1">
        <f>'[1]Electricity and CHPs_CAP'!G$64</f>
        <v>0.94326882126790812</v>
      </c>
    </row>
    <row r="1813" spans="2:11" x14ac:dyDescent="0.35">
      <c r="B1813" s="5" t="str">
        <f t="shared" si="1164"/>
        <v>SPS1</v>
      </c>
      <c r="C1813" s="5" t="str">
        <f t="shared" si="1164"/>
        <v>CH</v>
      </c>
      <c r="D1813" t="s">
        <v>1849</v>
      </c>
      <c r="E1813" t="str">
        <f t="shared" si="1151"/>
        <v>GWe/yr.</v>
      </c>
      <c r="F1813" s="1">
        <f>'[1]Electricity and CHPs_CAP'!B$65</f>
        <v>2.7142938404674298E-4</v>
      </c>
      <c r="G1813" s="1">
        <f>'[1]Electricity and CHPs_CAP'!C$65</f>
        <v>2.7161076786601208E-4</v>
      </c>
      <c r="H1813" s="1">
        <f>'[1]Electricity and CHPs_CAP'!D$65</f>
        <v>2.7307528483876809E-4</v>
      </c>
      <c r="I1813" s="1">
        <f>'[1]Electricity and CHPs_CAP'!E$65</f>
        <v>2.4925718783685844E-4</v>
      </c>
      <c r="J1813" s="1">
        <f>'[1]Electricity and CHPs_CAP'!F$65</f>
        <v>2.1264382130650782E-3</v>
      </c>
      <c r="K1813" s="1">
        <f>'[1]Electricity and CHPs_CAP'!G$65</f>
        <v>2.7817539501293169E-2</v>
      </c>
    </row>
    <row r="1814" spans="2:11" x14ac:dyDescent="0.35">
      <c r="B1814" s="5" t="str">
        <f t="shared" si="1164"/>
        <v>SPS1</v>
      </c>
      <c r="C1814" s="5" t="str">
        <f t="shared" si="1164"/>
        <v>CH</v>
      </c>
      <c r="D1814" t="s">
        <v>1850</v>
      </c>
      <c r="E1814" t="str">
        <f t="shared" si="1151"/>
        <v>GWe/yr.</v>
      </c>
      <c r="F1814" s="1">
        <f>'[1]Electricity and CHPs_CAP'!B$66</f>
        <v>2.5462093704238341E-4</v>
      </c>
      <c r="G1814" s="1">
        <f>'[1]Electricity and CHPs_CAP'!C$66</f>
        <v>2.5487515948034473E-4</v>
      </c>
      <c r="H1814" s="1">
        <f>'[1]Electricity and CHPs_CAP'!D$66</f>
        <v>2.5571500628586132E-4</v>
      </c>
      <c r="I1814" s="1">
        <f>'[1]Electricity and CHPs_CAP'!E$66</f>
        <v>7.5843121519093198E-2</v>
      </c>
      <c r="J1814" s="1">
        <f>'[1]Electricity and CHPs_CAP'!F$66</f>
        <v>0.21307831718614909</v>
      </c>
      <c r="K1814" s="1">
        <f>'[1]Electricity and CHPs_CAP'!G$66</f>
        <v>0.32022485744961698</v>
      </c>
    </row>
    <row r="1815" spans="2:11" x14ac:dyDescent="0.35">
      <c r="B1815" s="5" t="str">
        <f t="shared" si="1164"/>
        <v>SPS1</v>
      </c>
      <c r="C1815" s="5" t="str">
        <f t="shared" si="1164"/>
        <v>CH</v>
      </c>
      <c r="D1815" t="s">
        <v>1856</v>
      </c>
      <c r="E1815" t="str">
        <f t="shared" si="1151"/>
        <v>GWe/yr.</v>
      </c>
      <c r="F1815" s="1">
        <f>'[1]Electricity and CHPs_CAP'!B$67</f>
        <v>5.1271918726781228E-4</v>
      </c>
      <c r="G1815" s="1">
        <f>'[1]Electricity and CHPs_CAP'!C$67</f>
        <v>5.1323028633812296E-4</v>
      </c>
      <c r="H1815" s="1">
        <f>'[1]Electricity and CHPs_CAP'!D$67</f>
        <v>5.1525321643886316E-4</v>
      </c>
      <c r="I1815" s="1">
        <f>'[1]Electricity and CHPs_CAP'!E$67</f>
        <v>1.289786679742147E-2</v>
      </c>
      <c r="J1815" s="1">
        <f>'[1]Electricity and CHPs_CAP'!F$67</f>
        <v>9.3823842034648514E-3</v>
      </c>
      <c r="K1815" s="1">
        <f>'[1]Electricity and CHPs_CAP'!G$67</f>
        <v>5.6786735306602106E-3</v>
      </c>
    </row>
    <row r="1816" spans="2:11" x14ac:dyDescent="0.35">
      <c r="B1816" s="5" t="str">
        <f t="shared" ref="B1816:C1817" si="1169">B1815</f>
        <v>SPS1</v>
      </c>
      <c r="C1816" s="5" t="str">
        <f t="shared" si="1169"/>
        <v>CH</v>
      </c>
      <c r="D1816" t="s">
        <v>1851</v>
      </c>
      <c r="E1816" t="str">
        <f t="shared" si="1151"/>
        <v>GWe/yr.</v>
      </c>
      <c r="F1816" s="1">
        <f>'[1]Electricity and CHPs_CAP'!B$68</f>
        <v>5.1282827496754863E-4</v>
      </c>
      <c r="G1816" s="1">
        <f>'[1]Electricity and CHPs_CAP'!C$68</f>
        <v>5.1333936367056396E-4</v>
      </c>
      <c r="H1816" s="1">
        <f>'[1]Electricity and CHPs_CAP'!D$68</f>
        <v>5.1537040720303412E-4</v>
      </c>
      <c r="I1816" s="1">
        <f>'[1]Electricity and CHPs_CAP'!E$68</f>
        <v>1.2920710237506489E-2</v>
      </c>
      <c r="J1816" s="1">
        <f>'[1]Electricity and CHPs_CAP'!F$68</f>
        <v>9.6336417542676588E-3</v>
      </c>
      <c r="K1816" s="1">
        <f>'[1]Electricity and CHPs_CAP'!G$68</f>
        <v>5.7180766818215115E-3</v>
      </c>
    </row>
    <row r="1817" spans="2:11" x14ac:dyDescent="0.35">
      <c r="B1817" s="5" t="str">
        <f t="shared" si="1169"/>
        <v>SPS1</v>
      </c>
      <c r="C1817" s="5" t="str">
        <f t="shared" si="1169"/>
        <v>CH</v>
      </c>
      <c r="D1817" t="s">
        <v>1852</v>
      </c>
      <c r="E1817" t="str">
        <f t="shared" si="1151"/>
        <v>GWe/yr.</v>
      </c>
      <c r="F1817" s="1">
        <f>'[1]Electricity and CHPs_CAP'!B$69</f>
        <v>2.5573426104404464E-4</v>
      </c>
      <c r="G1817" s="1">
        <f>'[1]Electricity and CHPs_CAP'!C$69</f>
        <v>2.5598882980058818E-4</v>
      </c>
      <c r="H1817" s="1">
        <f>'[1]Electricity and CHPs_CAP'!D$69</f>
        <v>2.5683841596425464E-4</v>
      </c>
      <c r="I1817" s="1">
        <f>'[1]Electricity and CHPs_CAP'!E$69</f>
        <v>7.4310606835963858E-3</v>
      </c>
      <c r="J1817" s="1">
        <f>'[1]Electricity and CHPs_CAP'!F$69</f>
        <v>6.1586259397263202E-3</v>
      </c>
      <c r="K1817" s="1">
        <f>'[1]Electricity and CHPs_CAP'!G$69</f>
        <v>3.7772139074331006E-3</v>
      </c>
    </row>
    <row r="1818" spans="2:11" x14ac:dyDescent="0.35">
      <c r="B1818" s="5" t="str">
        <f t="shared" ref="B1818:C1818" si="1170">B1817</f>
        <v>SPS1</v>
      </c>
      <c r="C1818" s="5" t="str">
        <f t="shared" si="1170"/>
        <v>CH</v>
      </c>
      <c r="D1818" s="2" t="s">
        <v>1861</v>
      </c>
      <c r="E1818" s="2" t="s">
        <v>1859</v>
      </c>
      <c r="F1818" s="3">
        <f>SUM(F1819,F1838)</f>
        <v>11.163749303205009</v>
      </c>
      <c r="G1818" s="3">
        <f t="shared" ref="G1818:K1818" si="1171">SUM(G1819,G1838)</f>
        <v>11.729940322085703</v>
      </c>
      <c r="H1818" s="3">
        <f t="shared" si="1171"/>
        <v>11.539833553659816</v>
      </c>
      <c r="I1818" s="3">
        <f t="shared" si="1171"/>
        <v>13.009279611431221</v>
      </c>
      <c r="J1818" s="3">
        <f t="shared" si="1171"/>
        <v>9.2532117456920879</v>
      </c>
      <c r="K1818" s="3">
        <f t="shared" si="1171"/>
        <v>8.5986831846087615</v>
      </c>
    </row>
    <row r="1819" spans="2:11" x14ac:dyDescent="0.35">
      <c r="B1819" s="5" t="str">
        <f>B1817</f>
        <v>SPS1</v>
      </c>
      <c r="C1819" s="5" t="str">
        <f>C1817</f>
        <v>CH</v>
      </c>
      <c r="D1819" t="s">
        <v>1899</v>
      </c>
      <c r="E1819" t="str">
        <f>E1818</f>
        <v>GWth/yr.</v>
      </c>
      <c r="F1819" s="1">
        <f>SUM(F1820,F1823,F1825,F1828,F1830,F1832,F1834,F1836)</f>
        <v>9.3027634728772579</v>
      </c>
      <c r="G1819" s="1">
        <f t="shared" ref="G1819:K1819" si="1172">SUM(G1820,G1823,G1825,G1828,G1830,G1832,G1834,G1836)</f>
        <v>9.7176844355196543</v>
      </c>
      <c r="H1819" s="1">
        <f t="shared" si="1172"/>
        <v>9.6350850334567468</v>
      </c>
      <c r="I1819" s="1">
        <f t="shared" si="1172"/>
        <v>10.999674970019607</v>
      </c>
      <c r="J1819" s="1">
        <f t="shared" si="1172"/>
        <v>7.0798242078050855</v>
      </c>
      <c r="K1819" s="1">
        <f t="shared" si="1172"/>
        <v>6.3292879284328265</v>
      </c>
    </row>
    <row r="1820" spans="2:11" x14ac:dyDescent="0.35">
      <c r="B1820" s="5" t="str">
        <f>B1818</f>
        <v>SPS1</v>
      </c>
      <c r="C1820" s="5" t="str">
        <f>C1818</f>
        <v>CH</v>
      </c>
      <c r="D1820" t="s">
        <v>1862</v>
      </c>
      <c r="E1820" t="str">
        <f>E1818</f>
        <v>GWth/yr.</v>
      </c>
      <c r="F1820" s="1">
        <f>SUM(F1821:F1822)</f>
        <v>2.1116612059148467</v>
      </c>
      <c r="G1820" s="1">
        <f t="shared" ref="G1820:K1820" si="1173">SUM(G1821:G1822)</f>
        <v>2.3820163806162555</v>
      </c>
      <c r="H1820" s="1">
        <f t="shared" si="1173"/>
        <v>2.7642655974532655</v>
      </c>
      <c r="I1820" s="1">
        <f t="shared" si="1173"/>
        <v>3.9798314556453724</v>
      </c>
      <c r="J1820" s="1">
        <f t="shared" si="1173"/>
        <v>5.2017294064987132</v>
      </c>
      <c r="K1820" s="1">
        <f t="shared" si="1173"/>
        <v>5.1250716072473965</v>
      </c>
    </row>
    <row r="1821" spans="2:11" x14ac:dyDescent="0.35">
      <c r="B1821" s="5" t="str">
        <f t="shared" ref="B1821:C1821" si="1174">B1820</f>
        <v>SPS1</v>
      </c>
      <c r="C1821" s="5" t="str">
        <f t="shared" si="1174"/>
        <v>CH</v>
      </c>
      <c r="D1821" t="s">
        <v>1863</v>
      </c>
      <c r="E1821" t="str">
        <f t="shared" ref="E1821:E1884" si="1175">E1820</f>
        <v>GWth/yr.</v>
      </c>
      <c r="F1821" s="1" cm="1">
        <f t="array" ref="F1821">SUMPRODUCT(([1]OUT_FinalEnergyCons!$B$4:$B$10000="var_cap")*1,(ISNUMBER(SEARCH("RH*-SHELCBR",[1]OUT_FinalEnergyCons!$A$4:$A$10000)))*1,[1]OUT_FinalEnergyCons!D$4:D$10000)</f>
        <v>0.67257085263976779</v>
      </c>
      <c r="G1821" s="1" cm="1">
        <f t="array" ref="G1821">SUMPRODUCT(([1]OUT_FinalEnergyCons!$B$4:$B$10000="var_cap")*1,(ISNUMBER(SEARCH("RH*-SHELCBR",[1]OUT_FinalEnergyCons!$A$4:$A$10000)))*1,[1]OUT_FinalEnergyCons!E$4:E$10000)</f>
        <v>0.71861093923896069</v>
      </c>
      <c r="H1821" s="1" cm="1">
        <f t="array" ref="H1821">SUMPRODUCT(([1]OUT_FinalEnergyCons!$B$4:$B$10000="var_cap")*1,(ISNUMBER(SEARCH("RH*-SHELCBR",[1]OUT_FinalEnergyCons!$A$4:$A$10000)))*1,[1]OUT_FinalEnergyCons!F$4:F$10000)</f>
        <v>0.13066907859236224</v>
      </c>
      <c r="I1821" s="1" cm="1">
        <f t="array" ref="I1821">SUMPRODUCT(([1]OUT_FinalEnergyCons!$B$4:$B$10000="var_cap")*1,(ISNUMBER(SEARCH("RH*-SHELCBR",[1]OUT_FinalEnergyCons!$A$4:$A$10000)))*1,[1]OUT_FinalEnergyCons!G$4:G$10000)</f>
        <v>4.105982107551797E-2</v>
      </c>
      <c r="J1821" s="1" cm="1">
        <f t="array" ref="J1821">SUMPRODUCT(([1]OUT_FinalEnergyCons!$B$4:$B$10000="var_cap")*1,(ISNUMBER(SEARCH("RH*-SHELCBR",[1]OUT_FinalEnergyCons!$A$4:$A$10000)))*1,[1]OUT_FinalEnergyCons!H$4:H$10000)</f>
        <v>3.9120590355454553E-3</v>
      </c>
      <c r="K1821" s="1" cm="1">
        <f t="array" ref="K1821">SUMPRODUCT(([1]OUT_FinalEnergyCons!$B$4:$B$10000="var_cap")*1,(ISNUMBER(SEARCH("RH*-SHELCBR",[1]OUT_FinalEnergyCons!$A$4:$A$10000)))*1,[1]OUT_FinalEnergyCons!I$4:I$10000)</f>
        <v>1.6971149381160313E-3</v>
      </c>
    </row>
    <row r="1822" spans="2:11" x14ac:dyDescent="0.35">
      <c r="B1822" s="5" t="str">
        <f t="shared" ref="B1822:C1822" si="1176">B1821</f>
        <v>SPS1</v>
      </c>
      <c r="C1822" s="5" t="str">
        <f t="shared" si="1176"/>
        <v>CH</v>
      </c>
      <c r="D1822" t="s">
        <v>1864</v>
      </c>
      <c r="E1822" t="str">
        <f t="shared" si="1175"/>
        <v>GWth/yr.</v>
      </c>
      <c r="F1822" s="1" cm="1">
        <f t="array" ref="F1822">SUMPRODUCT(([1]OUT_FinalEnergyCons!$B$4:$B$10000="var_cap")*1,ISNUMBER(SEARCH("RH*-SHELCHP",[1]OUT_FinalEnergyCons!$A$4:$A$10000))*1,[1]OUT_FinalEnergyCons!D$4:D$10000)</f>
        <v>1.4390903532750789</v>
      </c>
      <c r="G1822" s="1" cm="1">
        <f t="array" ref="G1822">SUMPRODUCT(([1]OUT_FinalEnergyCons!$B$4:$B$10000="var_cap")*1,ISNUMBER(SEARCH("RH*-SHELCHP",[1]OUT_FinalEnergyCons!$A$4:$A$10000))*1,[1]OUT_FinalEnergyCons!E$4:E$10000)</f>
        <v>1.663405441377295</v>
      </c>
      <c r="H1822" s="1" cm="1">
        <f t="array" ref="H1822">SUMPRODUCT(([1]OUT_FinalEnergyCons!$B$4:$B$10000="var_cap")*1,ISNUMBER(SEARCH("RH*-SHELCHP",[1]OUT_FinalEnergyCons!$A$4:$A$10000))*1,[1]OUT_FinalEnergyCons!F$4:F$10000)</f>
        <v>2.6335965188609034</v>
      </c>
      <c r="I1822" s="1" cm="1">
        <f t="array" ref="I1822">SUMPRODUCT(([1]OUT_FinalEnergyCons!$B$4:$B$10000="var_cap")*1,ISNUMBER(SEARCH("RH*-SHELCHP",[1]OUT_FinalEnergyCons!$A$4:$A$10000))*1,[1]OUT_FinalEnergyCons!G$4:G$10000)</f>
        <v>3.9387716345698545</v>
      </c>
      <c r="J1822" s="1" cm="1">
        <f t="array" ref="J1822">SUMPRODUCT(([1]OUT_FinalEnergyCons!$B$4:$B$10000="var_cap")*1,ISNUMBER(SEARCH("RH*-SHELCHP",[1]OUT_FinalEnergyCons!$A$4:$A$10000))*1,[1]OUT_FinalEnergyCons!H$4:H$10000)</f>
        <v>5.1978173474631681</v>
      </c>
      <c r="K1822" s="1" cm="1">
        <f t="array" ref="K1822">SUMPRODUCT(([1]OUT_FinalEnergyCons!$B$4:$B$10000="var_cap")*1,ISNUMBER(SEARCH("RH*-SHELCHP",[1]OUT_FinalEnergyCons!$A$4:$A$10000))*1,[1]OUT_FinalEnergyCons!I$4:I$10000)</f>
        <v>5.1233744923092805</v>
      </c>
    </row>
    <row r="1823" spans="2:11" x14ac:dyDescent="0.35">
      <c r="B1823" s="5" t="str">
        <f t="shared" ref="B1823:C1823" si="1177">B1822</f>
        <v>SPS1</v>
      </c>
      <c r="C1823" s="5" t="str">
        <f t="shared" si="1177"/>
        <v>CH</v>
      </c>
      <c r="D1823" t="s">
        <v>1865</v>
      </c>
      <c r="E1823" t="str">
        <f t="shared" si="1175"/>
        <v>GWth/yr.</v>
      </c>
      <c r="F1823" s="1">
        <f>F1824</f>
        <v>3.4074053831106799</v>
      </c>
      <c r="G1823" s="1">
        <f t="shared" ref="G1823:K1823" si="1178">G1824</f>
        <v>3.2681658988078253</v>
      </c>
      <c r="H1823" s="1">
        <f t="shared" si="1178"/>
        <v>2.7052669809214249</v>
      </c>
      <c r="I1823" s="1">
        <f t="shared" si="1178"/>
        <v>2.7051536832255154</v>
      </c>
      <c r="J1823" s="1">
        <f t="shared" si="1178"/>
        <v>0.23686011511233926</v>
      </c>
      <c r="K1823" s="1">
        <f t="shared" si="1178"/>
        <v>1.5617871436664502E-2</v>
      </c>
    </row>
    <row r="1824" spans="2:11" x14ac:dyDescent="0.35">
      <c r="B1824" s="5" t="str">
        <f t="shared" ref="B1824:C1824" si="1179">B1823</f>
        <v>SPS1</v>
      </c>
      <c r="C1824" s="5" t="str">
        <f t="shared" si="1179"/>
        <v>CH</v>
      </c>
      <c r="D1824" t="s">
        <v>1866</v>
      </c>
      <c r="E1824" t="str">
        <f t="shared" si="1175"/>
        <v>GWth/yr.</v>
      </c>
      <c r="F1824" s="1" cm="1">
        <f t="array" ref="F1824">SUMPRODUCT(([1]OUT_FinalEnergyCons!$B$4:$B$10000="var_cap")*1, (ISNUMBER(SEARCH("RH*-SHLFOBR",[1]OUT_FinalEnergyCons!$A$4:$A$10000)))*1,[1]OUT_FinalEnergyCons!D$4:D$10000)</f>
        <v>3.4074053831106799</v>
      </c>
      <c r="G1824" s="1" cm="1">
        <f t="array" ref="G1824">SUMPRODUCT(([1]OUT_FinalEnergyCons!$B$4:$B$10000="var_cap")*1, (ISNUMBER(SEARCH("RH*-SHLFOBR",[1]OUT_FinalEnergyCons!$A$4:$A$10000)))*1,[1]OUT_FinalEnergyCons!E$4:E$10000)</f>
        <v>3.2681658988078253</v>
      </c>
      <c r="H1824" s="1" cm="1">
        <f t="array" ref="H1824">SUMPRODUCT(([1]OUT_FinalEnergyCons!$B$4:$B$10000="var_cap")*1, (ISNUMBER(SEARCH("RH*-SHLFOBR",[1]OUT_FinalEnergyCons!$A$4:$A$10000)))*1,[1]OUT_FinalEnergyCons!F$4:F$10000)</f>
        <v>2.7052669809214249</v>
      </c>
      <c r="I1824" s="1" cm="1">
        <f t="array" ref="I1824">SUMPRODUCT(([1]OUT_FinalEnergyCons!$B$4:$B$10000="var_cap")*1, (ISNUMBER(SEARCH("RH*-SHLFOBR",[1]OUT_FinalEnergyCons!$A$4:$A$10000)))*1,[1]OUT_FinalEnergyCons!G$4:G$10000)</f>
        <v>2.7051536832255154</v>
      </c>
      <c r="J1824" s="1" cm="1">
        <f t="array" ref="J1824">SUMPRODUCT(([1]OUT_FinalEnergyCons!$B$4:$B$10000="var_cap")*1, (ISNUMBER(SEARCH("RH*-SHLFOBR",[1]OUT_FinalEnergyCons!$A$4:$A$10000)))*1,[1]OUT_FinalEnergyCons!H$4:H$10000)</f>
        <v>0.23686011511233926</v>
      </c>
      <c r="K1824" s="1" cm="1">
        <f t="array" ref="K1824">SUMPRODUCT(([1]OUT_FinalEnergyCons!$B$4:$B$10000="var_cap")*1, (ISNUMBER(SEARCH("RH*-SHLFOBR",[1]OUT_FinalEnergyCons!$A$4:$A$10000)))*1,[1]OUT_FinalEnergyCons!I$4:I$10000)</f>
        <v>1.5617871436664502E-2</v>
      </c>
    </row>
    <row r="1825" spans="2:11" x14ac:dyDescent="0.35">
      <c r="B1825" s="5" t="str">
        <f t="shared" ref="B1825:C1825" si="1180">B1824</f>
        <v>SPS1</v>
      </c>
      <c r="C1825" s="5" t="str">
        <f t="shared" si="1180"/>
        <v>CH</v>
      </c>
      <c r="D1825" t="s">
        <v>1867</v>
      </c>
      <c r="E1825" t="str">
        <f t="shared" si="1175"/>
        <v>GWth/yr.</v>
      </c>
      <c r="F1825" s="1">
        <f>SUM(F1826:F1827)</f>
        <v>2.7687540998963196</v>
      </c>
      <c r="G1825" s="1">
        <f t="shared" ref="G1825:K1825" si="1181">SUM(G1826:G1827)</f>
        <v>2.9338364324167792</v>
      </c>
      <c r="H1825" s="1">
        <f t="shared" si="1181"/>
        <v>3.0923941857674491</v>
      </c>
      <c r="I1825" s="1">
        <f t="shared" si="1181"/>
        <v>3.2427088786177087</v>
      </c>
      <c r="J1825" s="1">
        <f t="shared" si="1181"/>
        <v>1.0284607603548814</v>
      </c>
      <c r="K1825" s="1">
        <f t="shared" si="1181"/>
        <v>0.8146698702446431</v>
      </c>
    </row>
    <row r="1826" spans="2:11" x14ac:dyDescent="0.35">
      <c r="B1826" s="5" t="str">
        <f t="shared" ref="B1826:C1826" si="1182">B1825</f>
        <v>SPS1</v>
      </c>
      <c r="C1826" s="5" t="str">
        <f t="shared" si="1182"/>
        <v>CH</v>
      </c>
      <c r="D1826" t="s">
        <v>1868</v>
      </c>
      <c r="E1826" t="str">
        <f t="shared" si="1175"/>
        <v>GWth/yr.</v>
      </c>
      <c r="F1826" s="1" cm="1">
        <f t="array" ref="F1826">SUMPRODUCT(([1]OUT_FinalEnergyCons!$B$4:$B$10000="var_cap")*1, (ISNUMBER(SEARCH("RH*-SHNGABR",[1]OUT_FinalEnergyCons!$A$4:$A$10000)))*1,[1]OUT_FinalEnergyCons!D$4:D$10000)</f>
        <v>2.7687540512383499</v>
      </c>
      <c r="G1826" s="1" cm="1">
        <f t="array" ref="G1826">SUMPRODUCT(([1]OUT_FinalEnergyCons!$B$4:$B$10000="var_cap")*1, (ISNUMBER(SEARCH("RH*-SHNGABR",[1]OUT_FinalEnergyCons!$A$4:$A$10000)))*1,[1]OUT_FinalEnergyCons!E$4:E$10000)</f>
        <v>2.9338358384540855</v>
      </c>
      <c r="H1826" s="1" cm="1">
        <f t="array" ref="H1826">SUMPRODUCT(([1]OUT_FinalEnergyCons!$B$4:$B$10000="var_cap")*1, (ISNUMBER(SEARCH("RH*-SHNGABR",[1]OUT_FinalEnergyCons!$A$4:$A$10000)))*1,[1]OUT_FinalEnergyCons!F$4:F$10000)</f>
        <v>2.8011066357419248</v>
      </c>
      <c r="I1826" s="1" cm="1">
        <f t="array" ref="I1826">SUMPRODUCT(([1]OUT_FinalEnergyCons!$B$4:$B$10000="var_cap")*1, (ISNUMBER(SEARCH("RH*-SHNGABR",[1]OUT_FinalEnergyCons!$A$4:$A$10000)))*1,[1]OUT_FinalEnergyCons!G$4:G$10000)</f>
        <v>2.800973966178868</v>
      </c>
      <c r="J1826" s="1" cm="1">
        <f t="array" ref="J1826">SUMPRODUCT(([1]OUT_FinalEnergyCons!$B$4:$B$10000="var_cap")*1, (ISNUMBER(SEARCH("RH*-SHNGABR",[1]OUT_FinalEnergyCons!$A$4:$A$10000)))*1,[1]OUT_FinalEnergyCons!H$4:H$10000)</f>
        <v>0.40972848937700135</v>
      </c>
      <c r="K1826" s="1" cm="1">
        <f t="array" ref="K1826">SUMPRODUCT(([1]OUT_FinalEnergyCons!$B$4:$B$10000="var_cap")*1, (ISNUMBER(SEARCH("RH*-SHNGABR",[1]OUT_FinalEnergyCons!$A$4:$A$10000)))*1,[1]OUT_FinalEnergyCons!I$4:I$10000)</f>
        <v>0.2200192153892899</v>
      </c>
    </row>
    <row r="1827" spans="2:11" x14ac:dyDescent="0.35">
      <c r="B1827" s="5" t="str">
        <f t="shared" ref="B1827:C1827" si="1183">B1826</f>
        <v>SPS1</v>
      </c>
      <c r="C1827" s="5" t="str">
        <f t="shared" si="1183"/>
        <v>CH</v>
      </c>
      <c r="D1827" t="s">
        <v>1869</v>
      </c>
      <c r="E1827" t="str">
        <f t="shared" si="1175"/>
        <v>GWth/yr.</v>
      </c>
      <c r="F1827" s="1" cm="1">
        <f t="array" ref="F1827">SUMPRODUCT(([1]OUT_FinalEnergyCons!$B$4:$B$10000="var_cap")*1,ISNUMBER(SEARCH("RH*-SHngahp",[1]OUT_FinalEnergyCons!$A$4:$A$10000))*1,[1]OUT_FinalEnergyCons!D$4:D$10000)</f>
        <v>4.8657969724965803E-8</v>
      </c>
      <c r="G1827" s="1" cm="1">
        <f t="array" ref="G1827">SUMPRODUCT(([1]OUT_FinalEnergyCons!$B$4:$B$10000="var_cap")*1,ISNUMBER(SEARCH("RH*-SHngahp",[1]OUT_FinalEnergyCons!$A$4:$A$10000))*1,[1]OUT_FinalEnergyCons!E$4:E$10000)</f>
        <v>5.9396269350190909E-7</v>
      </c>
      <c r="H1827" s="1" cm="1">
        <f t="array" ref="H1827">SUMPRODUCT(([1]OUT_FinalEnergyCons!$B$4:$B$10000="var_cap")*1,ISNUMBER(SEARCH("RH*-SHngahp",[1]OUT_FinalEnergyCons!$A$4:$A$10000))*1,[1]OUT_FinalEnergyCons!F$4:F$10000)</f>
        <v>0.29128755002552453</v>
      </c>
      <c r="I1827" s="1" cm="1">
        <f t="array" ref="I1827">SUMPRODUCT(([1]OUT_FinalEnergyCons!$B$4:$B$10000="var_cap")*1,ISNUMBER(SEARCH("RH*-SHngahp",[1]OUT_FinalEnergyCons!$A$4:$A$10000))*1,[1]OUT_FinalEnergyCons!G$4:G$10000)</f>
        <v>0.44173491243884055</v>
      </c>
      <c r="J1827" s="1" cm="1">
        <f t="array" ref="J1827">SUMPRODUCT(([1]OUT_FinalEnergyCons!$B$4:$B$10000="var_cap")*1,ISNUMBER(SEARCH("RH*-SHngahp",[1]OUT_FinalEnergyCons!$A$4:$A$10000))*1,[1]OUT_FinalEnergyCons!H$4:H$10000)</f>
        <v>0.61873227097788008</v>
      </c>
      <c r="K1827" s="1" cm="1">
        <f t="array" ref="K1827">SUMPRODUCT(([1]OUT_FinalEnergyCons!$B$4:$B$10000="var_cap")*1,ISNUMBER(SEARCH("RH*-SHngahp",[1]OUT_FinalEnergyCons!$A$4:$A$10000))*1,[1]OUT_FinalEnergyCons!I$4:I$10000)</f>
        <v>0.59465065485535318</v>
      </c>
    </row>
    <row r="1828" spans="2:11" x14ac:dyDescent="0.35">
      <c r="B1828" s="5" t="str">
        <f t="shared" ref="B1828:C1828" si="1184">B1827</f>
        <v>SPS1</v>
      </c>
      <c r="C1828" s="5" t="str">
        <f t="shared" si="1184"/>
        <v>CH</v>
      </c>
      <c r="D1828" t="s">
        <v>1870</v>
      </c>
      <c r="E1828" t="str">
        <f t="shared" si="1175"/>
        <v>GWth/yr.</v>
      </c>
      <c r="F1828" s="1">
        <f>F1829</f>
        <v>7.0000000000000001E-3</v>
      </c>
      <c r="G1828" s="1">
        <f t="shared" ref="G1828:K1828" si="1185">G1829</f>
        <v>6.3286958034705302E-3</v>
      </c>
      <c r="H1828" s="1">
        <f t="shared" si="1185"/>
        <v>2.0283828260642704E-3</v>
      </c>
      <c r="I1828" s="1">
        <f t="shared" si="1185"/>
        <v>5.1799619140520045E-5</v>
      </c>
      <c r="J1828" s="1">
        <f t="shared" si="1185"/>
        <v>0</v>
      </c>
      <c r="K1828" s="1">
        <f t="shared" si="1185"/>
        <v>0</v>
      </c>
    </row>
    <row r="1829" spans="2:11" x14ac:dyDescent="0.35">
      <c r="B1829" s="5" t="str">
        <f t="shared" ref="B1829:C1829" si="1186">B1828</f>
        <v>SPS1</v>
      </c>
      <c r="C1829" s="5" t="str">
        <f t="shared" si="1186"/>
        <v>CH</v>
      </c>
      <c r="D1829" t="s">
        <v>1871</v>
      </c>
      <c r="E1829" t="str">
        <f t="shared" si="1175"/>
        <v>GWth/yr.</v>
      </c>
      <c r="F1829" s="1" cm="1">
        <f t="array" ref="F1829">SUMPRODUCT(([1]OUT_FinalEnergyCons!$B$4:$B$10000="var_cap")*1, (ISNUMBER(SEARCH("RH*-SHCOABR",[1]OUT_FinalEnergyCons!$A$4:$A$10000)))*1,[1]OUT_FinalEnergyCons!D$4:D$10000)</f>
        <v>7.0000000000000001E-3</v>
      </c>
      <c r="G1829" s="1" cm="1">
        <f t="array" ref="G1829">SUMPRODUCT(([1]OUT_FinalEnergyCons!$B$4:$B$10000="var_cap")*1, (ISNUMBER(SEARCH("RH*-SHCOABR",[1]OUT_FinalEnergyCons!$A$4:$A$10000)))*1,[1]OUT_FinalEnergyCons!E$4:E$10000)</f>
        <v>6.3286958034705302E-3</v>
      </c>
      <c r="H1829" s="1" cm="1">
        <f t="array" ref="H1829">SUMPRODUCT(([1]OUT_FinalEnergyCons!$B$4:$B$10000="var_cap")*1, (ISNUMBER(SEARCH("RH*-SHCOABR",[1]OUT_FinalEnergyCons!$A$4:$A$10000)))*1,[1]OUT_FinalEnergyCons!F$4:F$10000)</f>
        <v>2.0283828260642704E-3</v>
      </c>
      <c r="I1829" s="1" cm="1">
        <f t="array" ref="I1829">SUMPRODUCT(([1]OUT_FinalEnergyCons!$B$4:$B$10000="var_cap")*1, (ISNUMBER(SEARCH("RH*-SHCOABR",[1]OUT_FinalEnergyCons!$A$4:$A$10000)))*1,[1]OUT_FinalEnergyCons!G$4:G$10000)</f>
        <v>5.1799619140520045E-5</v>
      </c>
      <c r="J1829" s="1" cm="1">
        <f t="array" ref="J1829">SUMPRODUCT(([1]OUT_FinalEnergyCons!$B$4:$B$10000="var_cap")*1, (ISNUMBER(SEARCH("RH*-SHCOABR",[1]OUT_FinalEnergyCons!$A$4:$A$10000)))*1,[1]OUT_FinalEnergyCons!H$4:H$10000)</f>
        <v>0</v>
      </c>
      <c r="K1829" s="1" cm="1">
        <f t="array" ref="K1829">SUMPRODUCT(([1]OUT_FinalEnergyCons!$B$4:$B$10000="var_cap")*1, (ISNUMBER(SEARCH("RH*-SHCOABR",[1]OUT_FinalEnergyCons!$A$4:$A$10000)))*1,[1]OUT_FinalEnergyCons!I$4:I$10000)</f>
        <v>0</v>
      </c>
    </row>
    <row r="1830" spans="2:11" x14ac:dyDescent="0.35">
      <c r="B1830" s="5" t="str">
        <f>B1829</f>
        <v>SPS1</v>
      </c>
      <c r="C1830" s="5" t="str">
        <f>C1829</f>
        <v>CH</v>
      </c>
      <c r="D1830" t="s">
        <v>1872</v>
      </c>
      <c r="E1830" t="str">
        <f>E1829</f>
        <v>GWth/yr.</v>
      </c>
      <c r="F1830" s="1">
        <f>F1831</f>
        <v>0.68950023910744829</v>
      </c>
      <c r="G1830" s="1">
        <f t="shared" ref="G1830:K1830" si="1187">G1831</f>
        <v>0.75006673067778473</v>
      </c>
      <c r="H1830" s="1">
        <f t="shared" si="1187"/>
        <v>0.85576545100386603</v>
      </c>
      <c r="I1830" s="1">
        <f t="shared" si="1187"/>
        <v>0.85576228632735041</v>
      </c>
      <c r="J1830" s="1">
        <f t="shared" si="1187"/>
        <v>0.55625819731535442</v>
      </c>
      <c r="K1830" s="1">
        <f t="shared" si="1187"/>
        <v>0.32593434587365133</v>
      </c>
    </row>
    <row r="1831" spans="2:11" x14ac:dyDescent="0.35">
      <c r="B1831" s="5" t="str">
        <f t="shared" ref="B1831:C1831" si="1188">B1830</f>
        <v>SPS1</v>
      </c>
      <c r="C1831" s="5" t="str">
        <f t="shared" si="1188"/>
        <v>CH</v>
      </c>
      <c r="D1831" t="s">
        <v>1873</v>
      </c>
      <c r="E1831" t="str">
        <f t="shared" si="1175"/>
        <v>GWth/yr.</v>
      </c>
      <c r="F1831" s="1" cm="1">
        <f t="array" ref="F1831">SUMPRODUCT(([1]OUT_FinalEnergyCons!$B$4:$B$10000="var_cap")*1, (ISNUMBER(SEARCH("RH*-SHWODBR",[1]OUT_FinalEnergyCons!$A$4:$A$10000)))*1,[1]OUT_FinalEnergyCons!D$4:D$10000)</f>
        <v>0.68950023910744829</v>
      </c>
      <c r="G1831" s="1" cm="1">
        <f t="array" ref="G1831">SUMPRODUCT(([1]OUT_FinalEnergyCons!$B$4:$B$10000="var_cap")*1, (ISNUMBER(SEARCH("RH*-SHWODBR",[1]OUT_FinalEnergyCons!$A$4:$A$10000)))*1,[1]OUT_FinalEnergyCons!E$4:E$10000)</f>
        <v>0.75006673067778473</v>
      </c>
      <c r="H1831" s="1" cm="1">
        <f t="array" ref="H1831">SUMPRODUCT(([1]OUT_FinalEnergyCons!$B$4:$B$10000="var_cap")*1, (ISNUMBER(SEARCH("RH*-SHWODBR",[1]OUT_FinalEnergyCons!$A$4:$A$10000)))*1,[1]OUT_FinalEnergyCons!F$4:F$10000)</f>
        <v>0.85576545100386603</v>
      </c>
      <c r="I1831" s="1" cm="1">
        <f t="array" ref="I1831">SUMPRODUCT(([1]OUT_FinalEnergyCons!$B$4:$B$10000="var_cap")*1, (ISNUMBER(SEARCH("RH*-SHWODBR",[1]OUT_FinalEnergyCons!$A$4:$A$10000)))*1,[1]OUT_FinalEnergyCons!G$4:G$10000)</f>
        <v>0.85576228632735041</v>
      </c>
      <c r="J1831" s="1" cm="1">
        <f t="array" ref="J1831">SUMPRODUCT(([1]OUT_FinalEnergyCons!$B$4:$B$10000="var_cap")*1, (ISNUMBER(SEARCH("RH*-SHWODBR",[1]OUT_FinalEnergyCons!$A$4:$A$10000)))*1,[1]OUT_FinalEnergyCons!H$4:H$10000)</f>
        <v>0.55625819731535442</v>
      </c>
      <c r="K1831" s="1" cm="1">
        <f t="array" ref="K1831">SUMPRODUCT(([1]OUT_FinalEnergyCons!$B$4:$B$10000="var_cap")*1, (ISNUMBER(SEARCH("RH*-SHWODBR",[1]OUT_FinalEnergyCons!$A$4:$A$10000)))*1,[1]OUT_FinalEnergyCons!I$4:I$10000)</f>
        <v>0.32593434587365133</v>
      </c>
    </row>
    <row r="1832" spans="2:11" x14ac:dyDescent="0.35">
      <c r="B1832" s="5" t="str">
        <f t="shared" ref="B1832:C1832" si="1189">B1831</f>
        <v>SPS1</v>
      </c>
      <c r="C1832" s="5" t="str">
        <f t="shared" si="1189"/>
        <v>CH</v>
      </c>
      <c r="D1832" t="s">
        <v>1874</v>
      </c>
      <c r="E1832" t="str">
        <f t="shared" si="1175"/>
        <v>GWth/yr.</v>
      </c>
      <c r="F1832" s="1">
        <f>F1833</f>
        <v>0.2043808157634881</v>
      </c>
      <c r="G1832" s="1">
        <f t="shared" ref="G1832:K1832" si="1190">G1833</f>
        <v>0.24029120308923721</v>
      </c>
      <c r="H1832" s="1">
        <f t="shared" si="1190"/>
        <v>8.2424253891979882E-2</v>
      </c>
      <c r="I1832" s="1">
        <f t="shared" si="1190"/>
        <v>8.324872465091368E-2</v>
      </c>
      <c r="J1832" s="1">
        <f t="shared" si="1190"/>
        <v>5.0028763526203314E-2</v>
      </c>
      <c r="K1832" s="1">
        <f t="shared" si="1190"/>
        <v>4.153056954410643E-2</v>
      </c>
    </row>
    <row r="1833" spans="2:11" x14ac:dyDescent="0.35">
      <c r="B1833" s="5" t="str">
        <f t="shared" ref="B1833:C1833" si="1191">B1832</f>
        <v>SPS1</v>
      </c>
      <c r="C1833" s="5" t="str">
        <f t="shared" si="1191"/>
        <v>CH</v>
      </c>
      <c r="D1833" t="s">
        <v>1875</v>
      </c>
      <c r="E1833" t="str">
        <f t="shared" si="1175"/>
        <v>GWth/yr.</v>
      </c>
      <c r="F1833" s="1" cm="1">
        <f t="array" ref="F1833">SUMPRODUCT(([1]OUT_FinalEnergyCons!$B$4:$B$10000="var_cap")*1, (ISNUMBER(SEARCH("RH*-SHPLTBR",[1]OUT_FinalEnergyCons!$A$4:$A$10000)))*1,[1]OUT_FinalEnergyCons!D$4:D$10000)</f>
        <v>0.2043808157634881</v>
      </c>
      <c r="G1833" s="1" cm="1">
        <f t="array" ref="G1833">SUMPRODUCT(([1]OUT_FinalEnergyCons!$B$4:$B$10000="var_cap")*1, (ISNUMBER(SEARCH("RH*-SHPLTBR",[1]OUT_FinalEnergyCons!$A$4:$A$10000)))*1,[1]OUT_FinalEnergyCons!E$4:E$10000)</f>
        <v>0.24029120308923721</v>
      </c>
      <c r="H1833" s="1" cm="1">
        <f t="array" ref="H1833">SUMPRODUCT(([1]OUT_FinalEnergyCons!$B$4:$B$10000="var_cap")*1, (ISNUMBER(SEARCH("RH*-SHPLTBR",[1]OUT_FinalEnergyCons!$A$4:$A$10000)))*1,[1]OUT_FinalEnergyCons!F$4:F$10000)</f>
        <v>8.2424253891979882E-2</v>
      </c>
      <c r="I1833" s="1" cm="1">
        <f t="array" ref="I1833">SUMPRODUCT(([1]OUT_FinalEnergyCons!$B$4:$B$10000="var_cap")*1, (ISNUMBER(SEARCH("RH*-SHPLTBR",[1]OUT_FinalEnergyCons!$A$4:$A$10000)))*1,[1]OUT_FinalEnergyCons!G$4:G$10000)</f>
        <v>8.324872465091368E-2</v>
      </c>
      <c r="J1833" s="1" cm="1">
        <f t="array" ref="J1833">SUMPRODUCT(([1]OUT_FinalEnergyCons!$B$4:$B$10000="var_cap")*1, (ISNUMBER(SEARCH("RH*-SHPLTBR",[1]OUT_FinalEnergyCons!$A$4:$A$10000)))*1,[1]OUT_FinalEnergyCons!H$4:H$10000)</f>
        <v>5.0028763526203314E-2</v>
      </c>
      <c r="K1833" s="1" cm="1">
        <f t="array" ref="K1833">SUMPRODUCT(([1]OUT_FinalEnergyCons!$B$4:$B$10000="var_cap")*1, (ISNUMBER(SEARCH("RH*-SHPLTBR",[1]OUT_FinalEnergyCons!$A$4:$A$10000)))*1,[1]OUT_FinalEnergyCons!I$4:I$10000)</f>
        <v>4.153056954410643E-2</v>
      </c>
    </row>
    <row r="1834" spans="2:11" x14ac:dyDescent="0.35">
      <c r="B1834" s="5" t="str">
        <f t="shared" ref="B1834:C1834" si="1192">B1833</f>
        <v>SPS1</v>
      </c>
      <c r="C1834" s="5" t="str">
        <f t="shared" si="1192"/>
        <v>CH</v>
      </c>
      <c r="D1834" t="s">
        <v>1876</v>
      </c>
      <c r="E1834" t="str">
        <f t="shared" si="1175"/>
        <v>GWth/yr.</v>
      </c>
      <c r="F1834" s="1">
        <f>F1835</f>
        <v>0.11406172908447582</v>
      </c>
      <c r="G1834" s="1">
        <f t="shared" ref="G1834:K1834" si="1193">G1835</f>
        <v>0.13697909410830131</v>
      </c>
      <c r="H1834" s="1">
        <f t="shared" si="1193"/>
        <v>0.13294018159270041</v>
      </c>
      <c r="I1834" s="1">
        <f t="shared" si="1193"/>
        <v>0.13291814193360879</v>
      </c>
      <c r="J1834" s="1">
        <f t="shared" si="1193"/>
        <v>6.4869649975933877E-3</v>
      </c>
      <c r="K1834" s="1">
        <f t="shared" si="1193"/>
        <v>6.4636640863636923E-3</v>
      </c>
    </row>
    <row r="1835" spans="2:11" x14ac:dyDescent="0.35">
      <c r="B1835" s="5" t="str">
        <f t="shared" ref="B1835:C1835" si="1194">B1834</f>
        <v>SPS1</v>
      </c>
      <c r="C1835" s="5" t="str">
        <f t="shared" si="1194"/>
        <v>CH</v>
      </c>
      <c r="D1835" t="s">
        <v>1877</v>
      </c>
      <c r="E1835" t="str">
        <f t="shared" si="1175"/>
        <v>GWth/yr.</v>
      </c>
      <c r="F1835" s="1" cm="1">
        <f t="array" ref="F1835">SUMPRODUCT(([1]OUT_FinalEnergyCons!$B$4:$B$10000="var_cap")*1, (ISNUMBER(SEARCH("RH*-SHSOLBR",[1]OUT_FinalEnergyCons!$A$4:$A$10000)))*1,[1]OUT_FinalEnergyCons!D$4:D$10000)</f>
        <v>0.11406172908447582</v>
      </c>
      <c r="G1835" s="1" cm="1">
        <f t="array" ref="G1835">SUMPRODUCT(([1]OUT_FinalEnergyCons!$B$4:$B$10000="var_cap")*1, (ISNUMBER(SEARCH("RH*-SHSOLBR",[1]OUT_FinalEnergyCons!$A$4:$A$10000)))*1,[1]OUT_FinalEnergyCons!E$4:E$10000)</f>
        <v>0.13697909410830131</v>
      </c>
      <c r="H1835" s="1" cm="1">
        <f t="array" ref="H1835">SUMPRODUCT(([1]OUT_FinalEnergyCons!$B$4:$B$10000="var_cap")*1, (ISNUMBER(SEARCH("RH*-SHSOLBR",[1]OUT_FinalEnergyCons!$A$4:$A$10000)))*1,[1]OUT_FinalEnergyCons!F$4:F$10000)</f>
        <v>0.13294018159270041</v>
      </c>
      <c r="I1835" s="1" cm="1">
        <f t="array" ref="I1835">SUMPRODUCT(([1]OUT_FinalEnergyCons!$B$4:$B$10000="var_cap")*1, (ISNUMBER(SEARCH("RH*-SHSOLBR",[1]OUT_FinalEnergyCons!$A$4:$A$10000)))*1,[1]OUT_FinalEnergyCons!G$4:G$10000)</f>
        <v>0.13291814193360879</v>
      </c>
      <c r="J1835" s="1" cm="1">
        <f t="array" ref="J1835">SUMPRODUCT(([1]OUT_FinalEnergyCons!$B$4:$B$10000="var_cap")*1, (ISNUMBER(SEARCH("RH*-SHSOLBR",[1]OUT_FinalEnergyCons!$A$4:$A$10000)))*1,[1]OUT_FinalEnergyCons!H$4:H$10000)</f>
        <v>6.4869649975933877E-3</v>
      </c>
      <c r="K1835" s="1" cm="1">
        <f t="array" ref="K1835">SUMPRODUCT(([1]OUT_FinalEnergyCons!$B$4:$B$10000="var_cap")*1, (ISNUMBER(SEARCH("RH*-SHSOLBR",[1]OUT_FinalEnergyCons!$A$4:$A$10000)))*1,[1]OUT_FinalEnergyCons!I$4:I$10000)</f>
        <v>6.4636640863636923E-3</v>
      </c>
    </row>
    <row r="1836" spans="2:11" x14ac:dyDescent="0.35">
      <c r="B1836" s="5" t="str">
        <f t="shared" ref="B1836:C1836" si="1195">B1835</f>
        <v>SPS1</v>
      </c>
      <c r="C1836" s="5" t="str">
        <f t="shared" si="1195"/>
        <v>CH</v>
      </c>
      <c r="D1836" t="s">
        <v>1878</v>
      </c>
      <c r="E1836" t="str">
        <f t="shared" si="1175"/>
        <v>GWth/yr.</v>
      </c>
      <c r="F1836" s="1">
        <f>F1837</f>
        <v>0</v>
      </c>
      <c r="G1836" s="1">
        <f t="shared" ref="G1836:K1836" si="1196">G1837</f>
        <v>0</v>
      </c>
      <c r="H1836" s="1">
        <f t="shared" si="1196"/>
        <v>0</v>
      </c>
      <c r="I1836" s="1">
        <f t="shared" si="1196"/>
        <v>0</v>
      </c>
      <c r="J1836" s="1">
        <f t="shared" si="1196"/>
        <v>0</v>
      </c>
      <c r="K1836" s="1">
        <f t="shared" si="1196"/>
        <v>0</v>
      </c>
    </row>
    <row r="1837" spans="2:11" x14ac:dyDescent="0.35">
      <c r="B1837" s="5" t="str">
        <f t="shared" ref="B1837:C1837" si="1197">B1836</f>
        <v>SPS1</v>
      </c>
      <c r="C1837" s="5" t="str">
        <f t="shared" si="1197"/>
        <v>CH</v>
      </c>
      <c r="D1837" t="s">
        <v>1879</v>
      </c>
      <c r="E1837" t="str">
        <f t="shared" si="1175"/>
        <v>GWth/yr.</v>
      </c>
      <c r="F1837" s="1" cm="1">
        <f t="array" ref="F1837">SUMPRODUCT(([1]OUT_FinalEnergyCons!$B$4:$B$10000="var_cap")*1, (ISNUMBER(SEARCH("RH*-SHH2BR",[1]OUT_FinalEnergyCons!$A$4:$A$10000)))*1,[1]OUT_FinalEnergyCons!D$4:D$10000)</f>
        <v>0</v>
      </c>
      <c r="G1837" s="1" cm="1">
        <f t="array" ref="G1837">SUMPRODUCT(([1]OUT_FinalEnergyCons!$B$4:$B$10000="var_cap")*1, (ISNUMBER(SEARCH("RH*-SHH2BR",[1]OUT_FinalEnergyCons!$A$4:$A$10000)))*1,[1]OUT_FinalEnergyCons!E$4:E$10000)</f>
        <v>0</v>
      </c>
      <c r="H1837" s="1" cm="1">
        <f t="array" ref="H1837">SUMPRODUCT(([1]OUT_FinalEnergyCons!$B$4:$B$10000="var_cap")*1, (ISNUMBER(SEARCH("RH*-SHH2BR",[1]OUT_FinalEnergyCons!$A$4:$A$10000)))*1,[1]OUT_FinalEnergyCons!F$4:F$10000)</f>
        <v>0</v>
      </c>
      <c r="I1837" s="1" cm="1">
        <f t="array" ref="I1837">SUMPRODUCT(([1]OUT_FinalEnergyCons!$B$4:$B$10000="var_cap")*1, (ISNUMBER(SEARCH("RH*-SHH2BR",[1]OUT_FinalEnergyCons!$A$4:$A$10000)))*1,[1]OUT_FinalEnergyCons!G$4:G$10000)</f>
        <v>0</v>
      </c>
      <c r="J1837" s="1" cm="1">
        <f t="array" ref="J1837">SUMPRODUCT(([1]OUT_FinalEnergyCons!$B$4:$B$10000="var_cap")*1, (ISNUMBER(SEARCH("RH*-SHH2BR",[1]OUT_FinalEnergyCons!$A$4:$A$10000)))*1,[1]OUT_FinalEnergyCons!H$4:H$10000)</f>
        <v>0</v>
      </c>
      <c r="K1837" s="1" cm="1">
        <f t="array" ref="K1837">SUMPRODUCT(([1]OUT_FinalEnergyCons!$B$4:$B$10000="var_cap")*1, (ISNUMBER(SEARCH("RH*-SHH2BR",[1]OUT_FinalEnergyCons!$A$4:$A$10000)))*1,[1]OUT_FinalEnergyCons!I$4:I$10000)</f>
        <v>0</v>
      </c>
    </row>
    <row r="1838" spans="2:11" x14ac:dyDescent="0.35">
      <c r="B1838" s="5" t="str">
        <f t="shared" ref="B1838:C1838" si="1198">B1837</f>
        <v>SPS1</v>
      </c>
      <c r="C1838" s="5" t="str">
        <f t="shared" si="1198"/>
        <v>CH</v>
      </c>
      <c r="D1838" t="s">
        <v>1880</v>
      </c>
      <c r="E1838" t="str">
        <f t="shared" si="1175"/>
        <v>GWth/yr.</v>
      </c>
      <c r="F1838" s="1">
        <f>SUM(F1839,F1842,F1844,F1847,F1849,F1851,F1853,F1855)</f>
        <v>1.8609858303277516</v>
      </c>
      <c r="G1838" s="1">
        <f t="shared" ref="G1838" si="1199">SUM(G1839,G1842,G1844,G1847,G1849,G1851,G1853,G1855)</f>
        <v>2.0122558865660478</v>
      </c>
      <c r="H1838" s="1">
        <f t="shared" ref="H1838" si="1200">SUM(H1839,H1842,H1844,H1847,H1849,H1851,H1853,H1855)</f>
        <v>1.9047485202030701</v>
      </c>
      <c r="I1838" s="1">
        <f t="shared" ref="I1838" si="1201">SUM(I1839,I1842,I1844,I1847,I1849,I1851,I1853,I1855)</f>
        <v>2.009604641411614</v>
      </c>
      <c r="J1838" s="1">
        <f t="shared" ref="J1838" si="1202">SUM(J1839,J1842,J1844,J1847,J1849,J1851,J1853,J1855)</f>
        <v>2.1733875378870025</v>
      </c>
      <c r="K1838" s="1">
        <f t="shared" ref="K1838" si="1203">SUM(K1839,K1842,K1844,K1847,K1849,K1851,K1853,K1855)</f>
        <v>2.2693952561759354</v>
      </c>
    </row>
    <row r="1839" spans="2:11" x14ac:dyDescent="0.35">
      <c r="B1839" s="5" t="str">
        <f t="shared" ref="B1839:C1839" si="1204">B1838</f>
        <v>SPS1</v>
      </c>
      <c r="C1839" s="5" t="str">
        <f t="shared" si="1204"/>
        <v>CH</v>
      </c>
      <c r="D1839" t="s">
        <v>1881</v>
      </c>
      <c r="E1839" t="str">
        <f t="shared" si="1175"/>
        <v>GWth/yr.</v>
      </c>
      <c r="F1839" s="1">
        <f>SUM(F1840:F1841)</f>
        <v>0.65092772180560698</v>
      </c>
      <c r="G1839" s="1">
        <f t="shared" ref="G1839" si="1205">SUM(G1840:G1841)</f>
        <v>0.71822583496113035</v>
      </c>
      <c r="H1839" s="1">
        <f t="shared" ref="H1839" si="1206">SUM(H1840:H1841)</f>
        <v>0.66472945634270209</v>
      </c>
      <c r="I1839" s="1">
        <f t="shared" ref="I1839" si="1207">SUM(I1840:I1841)</f>
        <v>0.87056822674711198</v>
      </c>
      <c r="J1839" s="1">
        <f t="shared" ref="J1839" si="1208">SUM(J1840:J1841)</f>
        <v>1.2327541500497887</v>
      </c>
      <c r="K1839" s="1">
        <f t="shared" ref="K1839" si="1209">SUM(K1840:K1841)</f>
        <v>1.3440263044188319</v>
      </c>
    </row>
    <row r="1840" spans="2:11" x14ac:dyDescent="0.35">
      <c r="B1840" s="5" t="str">
        <f t="shared" ref="B1840:C1840" si="1210">B1839</f>
        <v>SPS1</v>
      </c>
      <c r="C1840" s="5" t="str">
        <f t="shared" si="1210"/>
        <v>CH</v>
      </c>
      <c r="D1840" t="s">
        <v>1882</v>
      </c>
      <c r="E1840" t="str">
        <f t="shared" si="1175"/>
        <v>GWth/yr.</v>
      </c>
      <c r="F1840" s="1" cm="1">
        <f t="array" ref="F1840">SUMPRODUCT(([1]OUT_FinalEnergyCons!$B$4:$B$10000="var_cap")*1,(ISNUMBER(SEARCH("RH*-WHELCBR",[1]OUT_FinalEnergyCons!$A$4:$A$10000)))*1,[1]OUT_FinalEnergyCons!D$4:D$10000)</f>
        <v>0.43757323275190452</v>
      </c>
      <c r="G1840" s="1" cm="1">
        <f t="array" ref="G1840">SUMPRODUCT(([1]OUT_FinalEnergyCons!$B$4:$B$10000="var_cap")*1,(ISNUMBER(SEARCH("RH*-WHELCBR",[1]OUT_FinalEnergyCons!$A$4:$A$10000)))*1,[1]OUT_FinalEnergyCons!E$4:E$10000)</f>
        <v>0.47210099938164629</v>
      </c>
      <c r="H1840" s="1" cm="1">
        <f t="array" ref="H1840">SUMPRODUCT(([1]OUT_FinalEnergyCons!$B$4:$B$10000="var_cap")*1,(ISNUMBER(SEARCH("RH*-WHELCBR",[1]OUT_FinalEnergyCons!$A$4:$A$10000)))*1,[1]OUT_FinalEnergyCons!F$4:F$10000)</f>
        <v>0.32876940248106412</v>
      </c>
      <c r="I1840" s="1" cm="1">
        <f t="array" ref="I1840">SUMPRODUCT(([1]OUT_FinalEnergyCons!$B$4:$B$10000="var_cap")*1,(ISNUMBER(SEARCH("RH*-WHELCBR",[1]OUT_FinalEnergyCons!$A$4:$A$10000)))*1,[1]OUT_FinalEnergyCons!G$4:G$10000)</f>
        <v>0.24215348746039872</v>
      </c>
      <c r="J1840" s="1" cm="1">
        <f t="array" ref="J1840">SUMPRODUCT(([1]OUT_FinalEnergyCons!$B$4:$B$10000="var_cap")*1,(ISNUMBER(SEARCH("RH*-WHELCBR",[1]OUT_FinalEnergyCons!$A$4:$A$10000)))*1,[1]OUT_FinalEnergyCons!H$4:H$10000)</f>
        <v>0.20226984814177057</v>
      </c>
      <c r="K1840" s="1" cm="1">
        <f t="array" ref="K1840">SUMPRODUCT(([1]OUT_FinalEnergyCons!$B$4:$B$10000="var_cap")*1,(ISNUMBER(SEARCH("RH*-WHELCBR",[1]OUT_FinalEnergyCons!$A$4:$A$10000)))*1,[1]OUT_FinalEnergyCons!I$4:I$10000)</f>
        <v>0.12702009599873743</v>
      </c>
    </row>
    <row r="1841" spans="2:11" x14ac:dyDescent="0.35">
      <c r="B1841" s="5" t="str">
        <f t="shared" ref="B1841:C1841" si="1211">B1840</f>
        <v>SPS1</v>
      </c>
      <c r="C1841" s="5" t="str">
        <f t="shared" si="1211"/>
        <v>CH</v>
      </c>
      <c r="D1841" t="s">
        <v>1883</v>
      </c>
      <c r="E1841" t="str">
        <f t="shared" si="1175"/>
        <v>GWth/yr.</v>
      </c>
      <c r="F1841" s="1" cm="1">
        <f t="array" ref="F1841">SUMPRODUCT(([1]OUT_FinalEnergyCons!$B$4:$B$10000="var_cap")*1,ISNUMBER(SEARCH("RH*-WHELCHP",[1]OUT_FinalEnergyCons!$A$4:$A$10000))*1,[1]OUT_FinalEnergyCons!D$4:D$10000)</f>
        <v>0.2133544890537025</v>
      </c>
      <c r="G1841" s="1" cm="1">
        <f t="array" ref="G1841">SUMPRODUCT(([1]OUT_FinalEnergyCons!$B$4:$B$10000="var_cap")*1,ISNUMBER(SEARCH("RH*-WHELCHP",[1]OUT_FinalEnergyCons!$A$4:$A$10000))*1,[1]OUT_FinalEnergyCons!E$4:E$10000)</f>
        <v>0.24612483557948406</v>
      </c>
      <c r="H1841" s="1" cm="1">
        <f t="array" ref="H1841">SUMPRODUCT(([1]OUT_FinalEnergyCons!$B$4:$B$10000="var_cap")*1,ISNUMBER(SEARCH("RH*-WHELCHP",[1]OUT_FinalEnergyCons!$A$4:$A$10000))*1,[1]OUT_FinalEnergyCons!F$4:F$10000)</f>
        <v>0.33596005386163796</v>
      </c>
      <c r="I1841" s="1" cm="1">
        <f t="array" ref="I1841">SUMPRODUCT(([1]OUT_FinalEnergyCons!$B$4:$B$10000="var_cap")*1,ISNUMBER(SEARCH("RH*-WHELCHP",[1]OUT_FinalEnergyCons!$A$4:$A$10000))*1,[1]OUT_FinalEnergyCons!G$4:G$10000)</f>
        <v>0.62841473928671332</v>
      </c>
      <c r="J1841" s="1" cm="1">
        <f t="array" ref="J1841">SUMPRODUCT(([1]OUT_FinalEnergyCons!$B$4:$B$10000="var_cap")*1,ISNUMBER(SEARCH("RH*-WHELCHP",[1]OUT_FinalEnergyCons!$A$4:$A$10000))*1,[1]OUT_FinalEnergyCons!H$4:H$10000)</f>
        <v>1.0304843019080181</v>
      </c>
      <c r="K1841" s="1" cm="1">
        <f t="array" ref="K1841">SUMPRODUCT(([1]OUT_FinalEnergyCons!$B$4:$B$10000="var_cap")*1,ISNUMBER(SEARCH("RH*-WHELCHP",[1]OUT_FinalEnergyCons!$A$4:$A$10000))*1,[1]OUT_FinalEnergyCons!I$4:I$10000)</f>
        <v>1.2170062084200945</v>
      </c>
    </row>
    <row r="1842" spans="2:11" x14ac:dyDescent="0.35">
      <c r="B1842" s="5" t="str">
        <f t="shared" ref="B1842:C1842" si="1212">B1841</f>
        <v>SPS1</v>
      </c>
      <c r="C1842" s="5" t="str">
        <f t="shared" si="1212"/>
        <v>CH</v>
      </c>
      <c r="D1842" t="s">
        <v>1884</v>
      </c>
      <c r="E1842" t="str">
        <f t="shared" si="1175"/>
        <v>GWth/yr.</v>
      </c>
      <c r="F1842" s="1">
        <f>F1843</f>
        <v>0.47738433216181703</v>
      </c>
      <c r="G1842" s="1">
        <f t="shared" ref="G1842" si="1213">G1843</f>
        <v>0.4773783251041267</v>
      </c>
      <c r="H1842" s="1">
        <f t="shared" ref="H1842" si="1214">H1843</f>
        <v>0.31962428943559656</v>
      </c>
      <c r="I1842" s="1">
        <f t="shared" ref="I1842" si="1215">I1843</f>
        <v>0.21310041239003391</v>
      </c>
      <c r="J1842" s="1">
        <f t="shared" ref="J1842" si="1216">J1843</f>
        <v>3.8571286056067515E-2</v>
      </c>
      <c r="K1842" s="1">
        <f t="shared" ref="K1842" si="1217">K1843</f>
        <v>1.285542484609499E-3</v>
      </c>
    </row>
    <row r="1843" spans="2:11" x14ac:dyDescent="0.35">
      <c r="B1843" s="5" t="str">
        <f t="shared" ref="B1843:C1843" si="1218">B1842</f>
        <v>SPS1</v>
      </c>
      <c r="C1843" s="5" t="str">
        <f t="shared" si="1218"/>
        <v>CH</v>
      </c>
      <c r="D1843" t="s">
        <v>1885</v>
      </c>
      <c r="E1843" t="str">
        <f t="shared" si="1175"/>
        <v>GWth/yr.</v>
      </c>
      <c r="F1843" s="1" cm="1">
        <f t="array" ref="F1843">SUMPRODUCT(([1]OUT_FinalEnergyCons!$B$4:$B$10000="var_cap")*1, (ISNUMBER(SEARCH("RH*-WHLFOBR",[1]OUT_FinalEnergyCons!$A$4:$A$10000)))*1,[1]OUT_FinalEnergyCons!D$4:D$10000)</f>
        <v>0.47738433216181703</v>
      </c>
      <c r="G1843" s="1" cm="1">
        <f t="array" ref="G1843">SUMPRODUCT(([1]OUT_FinalEnergyCons!$B$4:$B$10000="var_cap")*1, (ISNUMBER(SEARCH("RH*-WHLFOBR",[1]OUT_FinalEnergyCons!$A$4:$A$10000)))*1,[1]OUT_FinalEnergyCons!E$4:E$10000)</f>
        <v>0.4773783251041267</v>
      </c>
      <c r="H1843" s="1" cm="1">
        <f t="array" ref="H1843">SUMPRODUCT(([1]OUT_FinalEnergyCons!$B$4:$B$10000="var_cap")*1, (ISNUMBER(SEARCH("RH*-WHLFOBR",[1]OUT_FinalEnergyCons!$A$4:$A$10000)))*1,[1]OUT_FinalEnergyCons!F$4:F$10000)</f>
        <v>0.31962428943559656</v>
      </c>
      <c r="I1843" s="1" cm="1">
        <f t="array" ref="I1843">SUMPRODUCT(([1]OUT_FinalEnergyCons!$B$4:$B$10000="var_cap")*1, (ISNUMBER(SEARCH("RH*-WHLFOBR",[1]OUT_FinalEnergyCons!$A$4:$A$10000)))*1,[1]OUT_FinalEnergyCons!G$4:G$10000)</f>
        <v>0.21310041239003391</v>
      </c>
      <c r="J1843" s="1" cm="1">
        <f t="array" ref="J1843">SUMPRODUCT(([1]OUT_FinalEnergyCons!$B$4:$B$10000="var_cap")*1, (ISNUMBER(SEARCH("RH*-WHLFOBR",[1]OUT_FinalEnergyCons!$A$4:$A$10000)))*1,[1]OUT_FinalEnergyCons!H$4:H$10000)</f>
        <v>3.8571286056067515E-2</v>
      </c>
      <c r="K1843" s="1" cm="1">
        <f t="array" ref="K1843">SUMPRODUCT(([1]OUT_FinalEnergyCons!$B$4:$B$10000="var_cap")*1, (ISNUMBER(SEARCH("RH*-WHLFOBR",[1]OUT_FinalEnergyCons!$A$4:$A$10000)))*1,[1]OUT_FinalEnergyCons!I$4:I$10000)</f>
        <v>1.285542484609499E-3</v>
      </c>
    </row>
    <row r="1844" spans="2:11" x14ac:dyDescent="0.35">
      <c r="B1844" s="5" t="str">
        <f t="shared" ref="B1844:C1844" si="1219">B1843</f>
        <v>SPS1</v>
      </c>
      <c r="C1844" s="5" t="str">
        <f t="shared" si="1219"/>
        <v>CH</v>
      </c>
      <c r="D1844" t="s">
        <v>1886</v>
      </c>
      <c r="E1844" t="str">
        <f t="shared" si="1175"/>
        <v>GWth/yr.</v>
      </c>
      <c r="F1844" s="1">
        <f>SUM(F1845:F1846)</f>
        <v>0.43610075806793741</v>
      </c>
      <c r="G1844" s="1">
        <f t="shared" ref="G1844" si="1220">SUM(G1845:G1846)</f>
        <v>0.43027454236778706</v>
      </c>
      <c r="H1844" s="1">
        <f t="shared" ref="H1844" si="1221">SUM(H1845:H1846)</f>
        <v>0.48880171928283528</v>
      </c>
      <c r="I1844" s="1">
        <f t="shared" ref="I1844" si="1222">SUM(I1845:I1846)</f>
        <v>0.49142158174883754</v>
      </c>
      <c r="J1844" s="1">
        <f t="shared" ref="J1844" si="1223">SUM(J1845:J1846)</f>
        <v>0.32598202837068824</v>
      </c>
      <c r="K1844" s="1">
        <f t="shared" ref="K1844" si="1224">SUM(K1845:K1846)</f>
        <v>0.31935769614197546</v>
      </c>
    </row>
    <row r="1845" spans="2:11" x14ac:dyDescent="0.35">
      <c r="B1845" s="5" t="str">
        <f t="shared" ref="B1845:C1845" si="1225">B1844</f>
        <v>SPS1</v>
      </c>
      <c r="C1845" s="5" t="str">
        <f t="shared" si="1225"/>
        <v>CH</v>
      </c>
      <c r="D1845" t="s">
        <v>1887</v>
      </c>
      <c r="E1845" t="str">
        <f t="shared" si="1175"/>
        <v>GWth/yr.</v>
      </c>
      <c r="F1845" s="1" cm="1">
        <f t="array" ref="F1845">SUMPRODUCT(([1]OUT_FinalEnergyCons!$B$4:$B$10000="var_cap")*1, (ISNUMBER(SEARCH("RH*-WHNGABR",[1]OUT_FinalEnergyCons!$A$4:$A$10000)))*1,[1]OUT_FinalEnergyCons!D$4:D$10000)</f>
        <v>0.43610075802020798</v>
      </c>
      <c r="G1845" s="1" cm="1">
        <f t="array" ref="G1845">SUMPRODUCT(([1]OUT_FinalEnergyCons!$B$4:$B$10000="var_cap")*1, (ISNUMBER(SEARCH("RH*-WHNGABR",[1]OUT_FinalEnergyCons!$A$4:$A$10000)))*1,[1]OUT_FinalEnergyCons!E$4:E$10000)</f>
        <v>0.43027474901153667</v>
      </c>
      <c r="H1845" s="1" cm="1">
        <f t="array" ref="H1845">SUMPRODUCT(([1]OUT_FinalEnergyCons!$B$4:$B$10000="var_cap")*1, (ISNUMBER(SEARCH("RH*-WHNGABR",[1]OUT_FinalEnergyCons!$A$4:$A$10000)))*1,[1]OUT_FinalEnergyCons!F$4:F$10000)</f>
        <v>0.42994638772011434</v>
      </c>
      <c r="I1845" s="1" cm="1">
        <f t="array" ref="I1845">SUMPRODUCT(([1]OUT_FinalEnergyCons!$B$4:$B$10000="var_cap")*1, (ISNUMBER(SEARCH("RH*-WHNGABR",[1]OUT_FinalEnergyCons!$A$4:$A$10000)))*1,[1]OUT_FinalEnergyCons!G$4:G$10000)</f>
        <v>0.37171672496188513</v>
      </c>
      <c r="J1845" s="1" cm="1">
        <f t="array" ref="J1845">SUMPRODUCT(([1]OUT_FinalEnergyCons!$B$4:$B$10000="var_cap")*1, (ISNUMBER(SEARCH("RH*-WHNGABR",[1]OUT_FinalEnergyCons!$A$4:$A$10000)))*1,[1]OUT_FinalEnergyCons!H$4:H$10000)</f>
        <v>8.1885652964390238E-2</v>
      </c>
      <c r="K1845" s="1" cm="1">
        <f t="array" ref="K1845">SUMPRODUCT(([1]OUT_FinalEnergyCons!$B$4:$B$10000="var_cap")*1, (ISNUMBER(SEARCH("RH*-WHNGABR",[1]OUT_FinalEnergyCons!$A$4:$A$10000)))*1,[1]OUT_FinalEnergyCons!I$4:I$10000)</f>
        <v>4.2095181612488153E-2</v>
      </c>
    </row>
    <row r="1846" spans="2:11" x14ac:dyDescent="0.35">
      <c r="B1846" s="5" t="str">
        <f t="shared" ref="B1846:C1846" si="1226">B1845</f>
        <v>SPS1</v>
      </c>
      <c r="C1846" s="5" t="str">
        <f t="shared" si="1226"/>
        <v>CH</v>
      </c>
      <c r="D1846" t="s">
        <v>1888</v>
      </c>
      <c r="E1846" t="str">
        <f t="shared" si="1175"/>
        <v>GWth/yr.</v>
      </c>
      <c r="F1846" s="1" cm="1">
        <f t="array" ref="F1846">SUMPRODUCT(([1]OUT_FinalEnergyCons!$B$4:$B$10000="var_cap")*1,ISNUMBER(SEARCH("RH*-WHngahp",[1]OUT_FinalEnergyCons!$A$4:$A$10000))*1,[1]OUT_FinalEnergyCons!D$4:D$10000)</f>
        <v>4.7729432218241499E-11</v>
      </c>
      <c r="G1846" s="1" cm="1">
        <f t="array" ref="G1846">SUMPRODUCT(([1]OUT_FinalEnergyCons!$B$4:$B$10000="var_cap")*1,ISNUMBER(SEARCH("RH*-WHngahp",[1]OUT_FinalEnergyCons!$A$4:$A$10000))*1,[1]OUT_FinalEnergyCons!E$4:E$10000)</f>
        <v>-2.066437496267948E-7</v>
      </c>
      <c r="H1846" s="1" cm="1">
        <f t="array" ref="H1846">SUMPRODUCT(([1]OUT_FinalEnergyCons!$B$4:$B$10000="var_cap")*1,ISNUMBER(SEARCH("RH*-WHngahp",[1]OUT_FinalEnergyCons!$A$4:$A$10000))*1,[1]OUT_FinalEnergyCons!F$4:F$10000)</f>
        <v>5.8855331562720922E-2</v>
      </c>
      <c r="I1846" s="1" cm="1">
        <f t="array" ref="I1846">SUMPRODUCT(([1]OUT_FinalEnergyCons!$B$4:$B$10000="var_cap")*1,ISNUMBER(SEARCH("RH*-WHngahp",[1]OUT_FinalEnergyCons!$A$4:$A$10000))*1,[1]OUT_FinalEnergyCons!G$4:G$10000)</f>
        <v>0.1197048567869524</v>
      </c>
      <c r="J1846" s="1" cm="1">
        <f t="array" ref="J1846">SUMPRODUCT(([1]OUT_FinalEnergyCons!$B$4:$B$10000="var_cap")*1,ISNUMBER(SEARCH("RH*-WHngahp",[1]OUT_FinalEnergyCons!$A$4:$A$10000))*1,[1]OUT_FinalEnergyCons!H$4:H$10000)</f>
        <v>0.24409637540629797</v>
      </c>
      <c r="K1846" s="1" cm="1">
        <f t="array" ref="K1846">SUMPRODUCT(([1]OUT_FinalEnergyCons!$B$4:$B$10000="var_cap")*1,ISNUMBER(SEARCH("RH*-WHngahp",[1]OUT_FinalEnergyCons!$A$4:$A$10000))*1,[1]OUT_FinalEnergyCons!I$4:I$10000)</f>
        <v>0.2772625145294873</v>
      </c>
    </row>
    <row r="1847" spans="2:11" x14ac:dyDescent="0.35">
      <c r="B1847" s="5" t="str">
        <f t="shared" ref="B1847:C1847" si="1227">B1846</f>
        <v>SPS1</v>
      </c>
      <c r="C1847" s="5" t="str">
        <f t="shared" si="1227"/>
        <v>CH</v>
      </c>
      <c r="D1847" t="s">
        <v>1889</v>
      </c>
      <c r="E1847" t="str">
        <f t="shared" si="1175"/>
        <v>GWth/yr.</v>
      </c>
      <c r="F1847" s="1">
        <f>F1848</f>
        <v>0</v>
      </c>
      <c r="G1847" s="1">
        <f t="shared" ref="G1847" si="1228">G1848</f>
        <v>0</v>
      </c>
      <c r="H1847" s="1">
        <f t="shared" ref="H1847" si="1229">H1848</f>
        <v>0</v>
      </c>
      <c r="I1847" s="1">
        <f t="shared" ref="I1847" si="1230">I1848</f>
        <v>0</v>
      </c>
      <c r="J1847" s="1">
        <f t="shared" ref="J1847" si="1231">J1848</f>
        <v>0</v>
      </c>
      <c r="K1847" s="1">
        <f t="shared" ref="K1847" si="1232">K1848</f>
        <v>0</v>
      </c>
    </row>
    <row r="1848" spans="2:11" x14ac:dyDescent="0.35">
      <c r="B1848" s="5" t="str">
        <f t="shared" ref="B1848:C1848" si="1233">B1847</f>
        <v>SPS1</v>
      </c>
      <c r="C1848" s="5" t="str">
        <f t="shared" si="1233"/>
        <v>CH</v>
      </c>
      <c r="D1848" t="s">
        <v>1890</v>
      </c>
      <c r="E1848" t="str">
        <f t="shared" si="1175"/>
        <v>GWth/yr.</v>
      </c>
      <c r="F1848" s="1" cm="1">
        <f t="array" ref="F1848">SUMPRODUCT(([1]OUT_FinalEnergyCons!$B$4:$B$10000="var_cap")*1, (ISNUMBER(SEARCH("RH*-WHCOABR",[1]OUT_FinalEnergyCons!$A$4:$A$10000)))*1,[1]OUT_FinalEnergyCons!D$4:D$10000)</f>
        <v>0</v>
      </c>
      <c r="G1848" s="1" cm="1">
        <f t="array" ref="G1848">SUMPRODUCT(([1]OUT_FinalEnergyCons!$B$4:$B$10000="var_cap")*1, (ISNUMBER(SEARCH("RH*-WHCOABR",[1]OUT_FinalEnergyCons!$A$4:$A$10000)))*1,[1]OUT_FinalEnergyCons!E$4:E$10000)</f>
        <v>0</v>
      </c>
      <c r="H1848" s="1" cm="1">
        <f t="array" ref="H1848">SUMPRODUCT(([1]OUT_FinalEnergyCons!$B$4:$B$10000="var_cap")*1, (ISNUMBER(SEARCH("RH*-WHCOABR",[1]OUT_FinalEnergyCons!$A$4:$A$10000)))*1,[1]OUT_FinalEnergyCons!F$4:F$10000)</f>
        <v>0</v>
      </c>
      <c r="I1848" s="1" cm="1">
        <f t="array" ref="I1848">SUMPRODUCT(([1]OUT_FinalEnergyCons!$B$4:$B$10000="var_cap")*1, (ISNUMBER(SEARCH("RH*-WHCOABR",[1]OUT_FinalEnergyCons!$A$4:$A$10000)))*1,[1]OUT_FinalEnergyCons!G$4:G$10000)</f>
        <v>0</v>
      </c>
      <c r="J1848" s="1" cm="1">
        <f t="array" ref="J1848">SUMPRODUCT(([1]OUT_FinalEnergyCons!$B$4:$B$10000="var_cap")*1, (ISNUMBER(SEARCH("RH*-WHCOABR",[1]OUT_FinalEnergyCons!$A$4:$A$10000)))*1,[1]OUT_FinalEnergyCons!H$4:H$10000)</f>
        <v>0</v>
      </c>
      <c r="K1848" s="1" cm="1">
        <f t="array" ref="K1848">SUMPRODUCT(([1]OUT_FinalEnergyCons!$B$4:$B$10000="var_cap")*1, (ISNUMBER(SEARCH("RH*-WHCOABR",[1]OUT_FinalEnergyCons!$A$4:$A$10000)))*1,[1]OUT_FinalEnergyCons!I$4:I$10000)</f>
        <v>0</v>
      </c>
    </row>
    <row r="1849" spans="2:11" x14ac:dyDescent="0.35">
      <c r="B1849" s="5" t="str">
        <f t="shared" ref="B1849:C1849" si="1234">B1848</f>
        <v>SPS1</v>
      </c>
      <c r="C1849" s="5" t="str">
        <f t="shared" si="1234"/>
        <v>CH</v>
      </c>
      <c r="D1849" t="s">
        <v>1891</v>
      </c>
      <c r="E1849" t="str">
        <f t="shared" si="1175"/>
        <v>GWth/yr.</v>
      </c>
      <c r="F1849" s="1">
        <f>F1850</f>
        <v>3.5322010722483803E-2</v>
      </c>
      <c r="G1849" s="1">
        <f t="shared" ref="G1849" si="1235">G1850</f>
        <v>4.0672853494020354E-2</v>
      </c>
      <c r="H1849" s="1">
        <f t="shared" ref="H1849" si="1236">H1850</f>
        <v>8.589124198212307E-2</v>
      </c>
      <c r="I1849" s="1">
        <f t="shared" ref="I1849" si="1237">I1850</f>
        <v>8.8811561591750146E-2</v>
      </c>
      <c r="J1849" s="1">
        <f t="shared" ref="J1849" si="1238">J1850</f>
        <v>8.6750075931197865E-2</v>
      </c>
      <c r="K1849" s="1">
        <f t="shared" ref="K1849" si="1239">K1850</f>
        <v>6.6858921357855663E-2</v>
      </c>
    </row>
    <row r="1850" spans="2:11" x14ac:dyDescent="0.35">
      <c r="B1850" s="5" t="str">
        <f t="shared" ref="B1850:C1850" si="1240">B1849</f>
        <v>SPS1</v>
      </c>
      <c r="C1850" s="5" t="str">
        <f t="shared" si="1240"/>
        <v>CH</v>
      </c>
      <c r="D1850" t="s">
        <v>1892</v>
      </c>
      <c r="E1850" t="str">
        <f t="shared" si="1175"/>
        <v>GWth/yr.</v>
      </c>
      <c r="F1850" s="1" cm="1">
        <f t="array" ref="F1850">SUMPRODUCT(([1]OUT_FinalEnergyCons!$B$4:$B$10000="var_cap")*1, (ISNUMBER(SEARCH("RH*-WHWODBR",[1]OUT_FinalEnergyCons!$A$4:$A$10000)))*1,[1]OUT_FinalEnergyCons!D$4:D$10000)</f>
        <v>3.5322010722483803E-2</v>
      </c>
      <c r="G1850" s="1" cm="1">
        <f t="array" ref="G1850">SUMPRODUCT(([1]OUT_FinalEnergyCons!$B$4:$B$10000="var_cap")*1, (ISNUMBER(SEARCH("RH*-WHWODBR",[1]OUT_FinalEnergyCons!$A$4:$A$10000)))*1,[1]OUT_FinalEnergyCons!E$4:E$10000)</f>
        <v>4.0672853494020354E-2</v>
      </c>
      <c r="H1850" s="1" cm="1">
        <f t="array" ref="H1850">SUMPRODUCT(([1]OUT_FinalEnergyCons!$B$4:$B$10000="var_cap")*1, (ISNUMBER(SEARCH("RH*-WHWODBR",[1]OUT_FinalEnergyCons!$A$4:$A$10000)))*1,[1]OUT_FinalEnergyCons!F$4:F$10000)</f>
        <v>8.589124198212307E-2</v>
      </c>
      <c r="I1850" s="1" cm="1">
        <f t="array" ref="I1850">SUMPRODUCT(([1]OUT_FinalEnergyCons!$B$4:$B$10000="var_cap")*1, (ISNUMBER(SEARCH("RH*-WHWODBR",[1]OUT_FinalEnergyCons!$A$4:$A$10000)))*1,[1]OUT_FinalEnergyCons!G$4:G$10000)</f>
        <v>8.8811561591750146E-2</v>
      </c>
      <c r="J1850" s="1" cm="1">
        <f t="array" ref="J1850">SUMPRODUCT(([1]OUT_FinalEnergyCons!$B$4:$B$10000="var_cap")*1, (ISNUMBER(SEARCH("RH*-WHWODBR",[1]OUT_FinalEnergyCons!$A$4:$A$10000)))*1,[1]OUT_FinalEnergyCons!H$4:H$10000)</f>
        <v>8.6750075931197865E-2</v>
      </c>
      <c r="K1850" s="1" cm="1">
        <f t="array" ref="K1850">SUMPRODUCT(([1]OUT_FinalEnergyCons!$B$4:$B$10000="var_cap")*1, (ISNUMBER(SEARCH("RH*-WHWODBR",[1]OUT_FinalEnergyCons!$A$4:$A$10000)))*1,[1]OUT_FinalEnergyCons!I$4:I$10000)</f>
        <v>6.6858921357855663E-2</v>
      </c>
    </row>
    <row r="1851" spans="2:11" x14ac:dyDescent="0.35">
      <c r="B1851" s="5" t="str">
        <f t="shared" ref="B1851:C1851" si="1241">B1850</f>
        <v>SPS1</v>
      </c>
      <c r="C1851" s="5" t="str">
        <f t="shared" si="1241"/>
        <v>CH</v>
      </c>
      <c r="D1851" t="s">
        <v>1893</v>
      </c>
      <c r="E1851" t="str">
        <f t="shared" si="1175"/>
        <v>GWth/yr.</v>
      </c>
      <c r="F1851" s="1">
        <f>F1852</f>
        <v>1.12410901121583E-2</v>
      </c>
      <c r="G1851" s="1">
        <f t="shared" ref="G1851" si="1242">G1852</f>
        <v>1.3192325225867059E-2</v>
      </c>
      <c r="H1851" s="1">
        <f t="shared" ref="H1851" si="1243">H1852</f>
        <v>1.3190493434088763E-2</v>
      </c>
      <c r="I1851" s="1">
        <f t="shared" ref="I1851" si="1244">I1852</f>
        <v>1.3190551972414826E-2</v>
      </c>
      <c r="J1851" s="1">
        <f t="shared" ref="J1851" si="1245">J1852</f>
        <v>1.4043314438212271E-2</v>
      </c>
      <c r="K1851" s="1">
        <f t="shared" ref="K1851" si="1246">K1852</f>
        <v>1.3851467514672349E-2</v>
      </c>
    </row>
    <row r="1852" spans="2:11" x14ac:dyDescent="0.35">
      <c r="B1852" s="5" t="str">
        <f t="shared" ref="B1852:C1852" si="1247">B1851</f>
        <v>SPS1</v>
      </c>
      <c r="C1852" s="5" t="str">
        <f t="shared" si="1247"/>
        <v>CH</v>
      </c>
      <c r="D1852" t="s">
        <v>1894</v>
      </c>
      <c r="E1852" t="str">
        <f t="shared" si="1175"/>
        <v>GWth/yr.</v>
      </c>
      <c r="F1852" s="1" cm="1">
        <f t="array" ref="F1852">SUMPRODUCT(([1]OUT_FinalEnergyCons!$B$4:$B$10000="var_cap")*1, (ISNUMBER(SEARCH("RH*-WHPLTBR",[1]OUT_FinalEnergyCons!$A$4:$A$10000)))*1,[1]OUT_FinalEnergyCons!D$4:D$10000)</f>
        <v>1.12410901121583E-2</v>
      </c>
      <c r="G1852" s="1" cm="1">
        <f t="array" ref="G1852">SUMPRODUCT(([1]OUT_FinalEnergyCons!$B$4:$B$10000="var_cap")*1, (ISNUMBER(SEARCH("RH*-WHPLTBR",[1]OUT_FinalEnergyCons!$A$4:$A$10000)))*1,[1]OUT_FinalEnergyCons!E$4:E$10000)</f>
        <v>1.3192325225867059E-2</v>
      </c>
      <c r="H1852" s="1" cm="1">
        <f t="array" ref="H1852">SUMPRODUCT(([1]OUT_FinalEnergyCons!$B$4:$B$10000="var_cap")*1, (ISNUMBER(SEARCH("RH*-WHPLTBR",[1]OUT_FinalEnergyCons!$A$4:$A$10000)))*1,[1]OUT_FinalEnergyCons!F$4:F$10000)</f>
        <v>1.3190493434088763E-2</v>
      </c>
      <c r="I1852" s="1" cm="1">
        <f t="array" ref="I1852">SUMPRODUCT(([1]OUT_FinalEnergyCons!$B$4:$B$10000="var_cap")*1, (ISNUMBER(SEARCH("RH*-WHPLTBR",[1]OUT_FinalEnergyCons!$A$4:$A$10000)))*1,[1]OUT_FinalEnergyCons!G$4:G$10000)</f>
        <v>1.3190551972414826E-2</v>
      </c>
      <c r="J1852" s="1" cm="1">
        <f t="array" ref="J1852">SUMPRODUCT(([1]OUT_FinalEnergyCons!$B$4:$B$10000="var_cap")*1, (ISNUMBER(SEARCH("RH*-WHPLTBR",[1]OUT_FinalEnergyCons!$A$4:$A$10000)))*1,[1]OUT_FinalEnergyCons!H$4:H$10000)</f>
        <v>1.4043314438212271E-2</v>
      </c>
      <c r="K1852" s="1" cm="1">
        <f t="array" ref="K1852">SUMPRODUCT(([1]OUT_FinalEnergyCons!$B$4:$B$10000="var_cap")*1, (ISNUMBER(SEARCH("RH*-WHPLTBR",[1]OUT_FinalEnergyCons!$A$4:$A$10000)))*1,[1]OUT_FinalEnergyCons!I$4:I$10000)</f>
        <v>1.3851467514672349E-2</v>
      </c>
    </row>
    <row r="1853" spans="2:11" x14ac:dyDescent="0.35">
      <c r="B1853" s="5" t="str">
        <f t="shared" ref="B1853:C1853" si="1248">B1852</f>
        <v>SPS1</v>
      </c>
      <c r="C1853" s="5" t="str">
        <f t="shared" si="1248"/>
        <v>CH</v>
      </c>
      <c r="D1853" t="s">
        <v>1895</v>
      </c>
      <c r="E1853" t="str">
        <f t="shared" si="1175"/>
        <v>GWth/yr.</v>
      </c>
      <c r="F1853" s="1">
        <f>F1854</f>
        <v>0.25000991745774798</v>
      </c>
      <c r="G1853" s="1">
        <f t="shared" ref="G1853" si="1249">G1854</f>
        <v>0.33251200541311637</v>
      </c>
      <c r="H1853" s="1">
        <f t="shared" ref="H1853" si="1250">H1854</f>
        <v>0.33251131972572401</v>
      </c>
      <c r="I1853" s="1">
        <f t="shared" ref="I1853" si="1251">I1854</f>
        <v>0.33251230696146505</v>
      </c>
      <c r="J1853" s="1">
        <f t="shared" ref="J1853" si="1252">J1854</f>
        <v>0.47528668304104815</v>
      </c>
      <c r="K1853" s="1">
        <f t="shared" ref="K1853" si="1253">K1854</f>
        <v>0.52401532425799047</v>
      </c>
    </row>
    <row r="1854" spans="2:11" x14ac:dyDescent="0.35">
      <c r="B1854" s="5" t="str">
        <f t="shared" ref="B1854:C1854" si="1254">B1853</f>
        <v>SPS1</v>
      </c>
      <c r="C1854" s="5" t="str">
        <f t="shared" si="1254"/>
        <v>CH</v>
      </c>
      <c r="D1854" t="s">
        <v>1896</v>
      </c>
      <c r="E1854" t="str">
        <f t="shared" si="1175"/>
        <v>GWth/yr.</v>
      </c>
      <c r="F1854" s="1" cm="1">
        <f t="array" ref="F1854">SUMPRODUCT(([1]OUT_FinalEnergyCons!$B$4:$B$10000="var_cap")*1, (ISNUMBER(SEARCH("RH*-WHSOLBR",[1]OUT_FinalEnergyCons!$A$4:$A$10000)))*1,[1]OUT_FinalEnergyCons!D$4:D$10000)</f>
        <v>0.25000991745774798</v>
      </c>
      <c r="G1854" s="1" cm="1">
        <f t="array" ref="G1854">SUMPRODUCT(([1]OUT_FinalEnergyCons!$B$4:$B$10000="var_cap")*1, (ISNUMBER(SEARCH("RH*-WHSOLBR",[1]OUT_FinalEnergyCons!$A$4:$A$10000)))*1,[1]OUT_FinalEnergyCons!E$4:E$10000)</f>
        <v>0.33251200541311637</v>
      </c>
      <c r="H1854" s="1" cm="1">
        <f t="array" ref="H1854">SUMPRODUCT(([1]OUT_FinalEnergyCons!$B$4:$B$10000="var_cap")*1, (ISNUMBER(SEARCH("RH*-WHSOLBR",[1]OUT_FinalEnergyCons!$A$4:$A$10000)))*1,[1]OUT_FinalEnergyCons!F$4:F$10000)</f>
        <v>0.33251131972572401</v>
      </c>
      <c r="I1854" s="1" cm="1">
        <f t="array" ref="I1854">SUMPRODUCT(([1]OUT_FinalEnergyCons!$B$4:$B$10000="var_cap")*1, (ISNUMBER(SEARCH("RH*-WHSOLBR",[1]OUT_FinalEnergyCons!$A$4:$A$10000)))*1,[1]OUT_FinalEnergyCons!G$4:G$10000)</f>
        <v>0.33251230696146505</v>
      </c>
      <c r="J1854" s="1" cm="1">
        <f t="array" ref="J1854">SUMPRODUCT(([1]OUT_FinalEnergyCons!$B$4:$B$10000="var_cap")*1, (ISNUMBER(SEARCH("RH*-WHSOLBR",[1]OUT_FinalEnergyCons!$A$4:$A$10000)))*1,[1]OUT_FinalEnergyCons!H$4:H$10000)</f>
        <v>0.47528668304104815</v>
      </c>
      <c r="K1854" s="1" cm="1">
        <f t="array" ref="K1854">SUMPRODUCT(([1]OUT_FinalEnergyCons!$B$4:$B$10000="var_cap")*1, (ISNUMBER(SEARCH("RH*-WHSOLBR",[1]OUT_FinalEnergyCons!$A$4:$A$10000)))*1,[1]OUT_FinalEnergyCons!I$4:I$10000)</f>
        <v>0.52401532425799047</v>
      </c>
    </row>
    <row r="1855" spans="2:11" x14ac:dyDescent="0.35">
      <c r="B1855" s="5" t="str">
        <f t="shared" ref="B1855:C1855" si="1255">B1854</f>
        <v>SPS1</v>
      </c>
      <c r="C1855" s="5" t="str">
        <f t="shared" si="1255"/>
        <v>CH</v>
      </c>
      <c r="D1855" t="s">
        <v>1897</v>
      </c>
      <c r="E1855" t="str">
        <f t="shared" si="1175"/>
        <v>GWth/yr.</v>
      </c>
      <c r="F1855" s="1">
        <f>F1856</f>
        <v>0</v>
      </c>
      <c r="G1855" s="1">
        <f t="shared" ref="G1855" si="1256">G1856</f>
        <v>0</v>
      </c>
      <c r="H1855" s="1">
        <f t="shared" ref="H1855" si="1257">H1856</f>
        <v>0</v>
      </c>
      <c r="I1855" s="1">
        <f t="shared" ref="I1855" si="1258">I1856</f>
        <v>0</v>
      </c>
      <c r="J1855" s="1">
        <f t="shared" ref="J1855" si="1259">J1856</f>
        <v>0</v>
      </c>
      <c r="K1855" s="1">
        <f t="shared" ref="K1855" si="1260">K1856</f>
        <v>0</v>
      </c>
    </row>
    <row r="1856" spans="2:11" x14ac:dyDescent="0.35">
      <c r="B1856" s="5" t="str">
        <f t="shared" ref="B1856:C1860" si="1261">B1855</f>
        <v>SPS1</v>
      </c>
      <c r="C1856" s="5" t="str">
        <f t="shared" si="1261"/>
        <v>CH</v>
      </c>
      <c r="D1856" t="s">
        <v>1898</v>
      </c>
      <c r="E1856" t="str">
        <f t="shared" si="1175"/>
        <v>GWth/yr.</v>
      </c>
      <c r="F1856" s="1" cm="1">
        <f t="array" ref="F1856">SUMPRODUCT(([1]OUT_FinalEnergyCons!$B$4:$B$10000="var_cap")*1, (ISNUMBER(SEARCH("RH*-WHH2BR",[1]OUT_FinalEnergyCons!$A$4:$A$10000)))*1,[1]OUT_FinalEnergyCons!D$4:D$10000)</f>
        <v>0</v>
      </c>
      <c r="G1856" s="1" cm="1">
        <f t="array" ref="G1856">SUMPRODUCT(([1]OUT_FinalEnergyCons!$B$4:$B$10000="var_cap")*1, (ISNUMBER(SEARCH("RH*-WHH2BR",[1]OUT_FinalEnergyCons!$A$4:$A$10000)))*1,[1]OUT_FinalEnergyCons!E$4:E$10000)</f>
        <v>0</v>
      </c>
      <c r="H1856" s="1" cm="1">
        <f t="array" ref="H1856">SUMPRODUCT(([1]OUT_FinalEnergyCons!$B$4:$B$10000="var_cap")*1, (ISNUMBER(SEARCH("RH*-WHH2BR",[1]OUT_FinalEnergyCons!$A$4:$A$10000)))*1,[1]OUT_FinalEnergyCons!F$4:F$10000)</f>
        <v>0</v>
      </c>
      <c r="I1856" s="1" cm="1">
        <f t="array" ref="I1856">SUMPRODUCT(([1]OUT_FinalEnergyCons!$B$4:$B$10000="var_cap")*1, (ISNUMBER(SEARCH("RH*-WHH2BR",[1]OUT_FinalEnergyCons!$A$4:$A$10000)))*1,[1]OUT_FinalEnergyCons!G$4:G$10000)</f>
        <v>0</v>
      </c>
      <c r="J1856" s="1" cm="1">
        <f t="array" ref="J1856">SUMPRODUCT(([1]OUT_FinalEnergyCons!$B$4:$B$10000="var_cap")*1, (ISNUMBER(SEARCH("RH*-WHH2BR",[1]OUT_FinalEnergyCons!$A$4:$A$10000)))*1,[1]OUT_FinalEnergyCons!H$4:H$10000)</f>
        <v>0</v>
      </c>
      <c r="K1856" s="1" cm="1">
        <f t="array" ref="K1856">SUMPRODUCT(([1]OUT_FinalEnergyCons!$B$4:$B$10000="var_cap")*1, (ISNUMBER(SEARCH("RH*-WHH2BR",[1]OUT_FinalEnergyCons!$A$4:$A$10000)))*1,[1]OUT_FinalEnergyCons!I$4:I$10000)</f>
        <v>0</v>
      </c>
    </row>
    <row r="1857" spans="2:11" x14ac:dyDescent="0.35">
      <c r="B1857" s="9" t="str">
        <f t="shared" si="1261"/>
        <v>SPS1</v>
      </c>
      <c r="C1857" s="9" t="str">
        <f t="shared" si="1261"/>
        <v>CH</v>
      </c>
      <c r="D1857" s="2" t="s">
        <v>1900</v>
      </c>
      <c r="E1857" s="9" t="str">
        <f t="shared" si="1175"/>
        <v>GWth/yr.</v>
      </c>
      <c r="F1857" s="17">
        <f>SUM(F1858,F1861,F1864,F1868,F1870,F1872,F1874,F1876,F1878)</f>
        <v>3.6002632321808754</v>
      </c>
      <c r="G1857" s="17">
        <f t="shared" ref="G1857:K1857" si="1262">SUM(G1858,G1861,G1864,G1868,G1870,G1872,G1874,G1876,G1878)</f>
        <v>3.6544666269076393</v>
      </c>
      <c r="H1857" s="17">
        <f t="shared" si="1262"/>
        <v>3.6014186636805872</v>
      </c>
      <c r="I1857" s="17">
        <f t="shared" si="1262"/>
        <v>3.419792115366004</v>
      </c>
      <c r="J1857" s="17">
        <f t="shared" si="1262"/>
        <v>3.2381959391375776</v>
      </c>
      <c r="K1857" s="17">
        <f t="shared" si="1262"/>
        <v>3.0548291002792016</v>
      </c>
    </row>
    <row r="1858" spans="2:11" x14ac:dyDescent="0.35">
      <c r="B1858" s="5" t="str">
        <f>B1857</f>
        <v>SPS1</v>
      </c>
      <c r="C1858" s="5" t="str">
        <f t="shared" si="1261"/>
        <v>CH</v>
      </c>
      <c r="D1858" t="s">
        <v>2094</v>
      </c>
      <c r="E1858" t="str">
        <f t="shared" si="1175"/>
        <v>GWth/yr.</v>
      </c>
      <c r="F1858" s="18">
        <f>SUM(F1859:F1860)</f>
        <v>0.61671309762324311</v>
      </c>
      <c r="G1858" s="18">
        <f t="shared" ref="G1858:K1858" si="1263">SUM(G1859:G1860)</f>
        <v>0.81304261540125378</v>
      </c>
      <c r="H1858" s="18">
        <f t="shared" si="1263"/>
        <v>0.82849091676358577</v>
      </c>
      <c r="I1858" s="18">
        <f t="shared" si="1263"/>
        <v>1.0561232206600626</v>
      </c>
      <c r="J1858" s="18">
        <f t="shared" si="1263"/>
        <v>1.3751813588075328</v>
      </c>
      <c r="K1858" s="18">
        <f t="shared" si="1263"/>
        <v>1.2099715516744705</v>
      </c>
    </row>
    <row r="1859" spans="2:11" x14ac:dyDescent="0.35">
      <c r="B1859" s="5" t="str">
        <f t="shared" ref="B1859:B1860" si="1264">B1858</f>
        <v>SPS1</v>
      </c>
      <c r="C1859" s="5" t="str">
        <f t="shared" si="1261"/>
        <v>CH</v>
      </c>
      <c r="D1859" t="s">
        <v>2095</v>
      </c>
      <c r="E1859" t="str">
        <f t="shared" si="1175"/>
        <v>GWth/yr.</v>
      </c>
      <c r="F1859" s="1" cm="1">
        <f t="array" ref="F1859">SUMPRODUCT(([1]OUT_FinalEnergyCons!$B$4:$B$10000="Var_cap")*1,  (ISNUMBER(SEARCH("ITOT-SWHELCBR",[1]OUT_FinalEnergyCons!$A$4:$A$10000)))*1,[1]OUT_FinalEnergyCons!D$4:D$10000)</f>
        <v>0.55644997413134401</v>
      </c>
      <c r="G1859" s="1" cm="1">
        <f t="array" ref="G1859">SUMPRODUCT(([1]OUT_FinalEnergyCons!$B$4:$B$10000="Var_cap")*1,  (ISNUMBER(SEARCH("ITOT-SWHELCBR",[1]OUT_FinalEnergyCons!$A$4:$A$10000)))*1,[1]OUT_FinalEnergyCons!E$4:E$10000)</f>
        <v>0.73678725930910827</v>
      </c>
      <c r="H1859" s="1" cm="1">
        <f t="array" ref="H1859">SUMPRODUCT(([1]OUT_FinalEnergyCons!$B$4:$B$10000="Var_cap")*1,  (ISNUMBER(SEARCH("ITOT-SWHELCBR",[1]OUT_FinalEnergyCons!$A$4:$A$10000)))*1,[1]OUT_FinalEnergyCons!F$4:F$10000)</f>
        <v>0.73683157654147491</v>
      </c>
      <c r="I1859" s="1" cm="1">
        <f t="array" ref="I1859">SUMPRODUCT(([1]OUT_FinalEnergyCons!$B$4:$B$10000="Var_cap")*1,  (ISNUMBER(SEARCH("ITOT-SWHELCBR",[1]OUT_FinalEnergyCons!$A$4:$A$10000)))*1,[1]OUT_FinalEnergyCons!G$4:G$10000)</f>
        <v>0.74019347615977449</v>
      </c>
      <c r="J1859" s="1" cm="1">
        <f t="array" ref="J1859">SUMPRODUCT(([1]OUT_FinalEnergyCons!$B$4:$B$10000="Var_cap")*1,  (ISNUMBER(SEARCH("ITOT-SWHELCBR",[1]OUT_FinalEnergyCons!$A$4:$A$10000)))*1,[1]OUT_FinalEnergyCons!H$4:H$10000)</f>
        <v>1.0552301590646982</v>
      </c>
      <c r="K1859" s="1" cm="1">
        <f t="array" ref="K1859">SUMPRODUCT(([1]OUT_FinalEnergyCons!$B$4:$B$10000="Var_cap")*1,  (ISNUMBER(SEARCH("ITOT-SWHELCBR",[1]OUT_FinalEnergyCons!$A$4:$A$10000)))*1,[1]OUT_FinalEnergyCons!I$4:I$10000)</f>
        <v>0.88873330890740365</v>
      </c>
    </row>
    <row r="1860" spans="2:11" x14ac:dyDescent="0.35">
      <c r="B1860" s="5" t="str">
        <f t="shared" si="1264"/>
        <v>SPS1</v>
      </c>
      <c r="C1860" s="5" t="str">
        <f t="shared" si="1261"/>
        <v>CH</v>
      </c>
      <c r="D1860" t="s">
        <v>2096</v>
      </c>
      <c r="E1860" t="str">
        <f t="shared" si="1175"/>
        <v>GWth/yr.</v>
      </c>
      <c r="F1860" s="1" cm="1">
        <f t="array" ref="F1860">SUMPRODUCT(([1]OUT_FinalEnergyCons!$B$4:$B$10000="Var_cap")*1,  (ISNUMBER(SEARCH("ITOT-SWHELCHP",[1]OUT_FinalEnergyCons!$A$4:$A$10000)))*1,[1]OUT_FinalEnergyCons!D$4:D$10000)</f>
        <v>6.02631234918991E-2</v>
      </c>
      <c r="G1860" s="1" cm="1">
        <f t="array" ref="G1860">SUMPRODUCT(([1]OUT_FinalEnergyCons!$B$4:$B$10000="Var_cap")*1,  (ISNUMBER(SEARCH("ITOT-SWHELCHP",[1]OUT_FinalEnergyCons!$A$4:$A$10000)))*1,[1]OUT_FinalEnergyCons!E$4:E$10000)</f>
        <v>7.6255356092145482E-2</v>
      </c>
      <c r="H1860" s="1" cm="1">
        <f t="array" ref="H1860">SUMPRODUCT(([1]OUT_FinalEnergyCons!$B$4:$B$10000="Var_cap")*1,  (ISNUMBER(SEARCH("ITOT-SWHELCHP",[1]OUT_FinalEnergyCons!$A$4:$A$10000)))*1,[1]OUT_FinalEnergyCons!F$4:F$10000)</f>
        <v>9.1659340222110849E-2</v>
      </c>
      <c r="I1860" s="1" cm="1">
        <f t="array" ref="I1860">SUMPRODUCT(([1]OUT_FinalEnergyCons!$B$4:$B$10000="Var_cap")*1,  (ISNUMBER(SEARCH("ITOT-SWHELCHP",[1]OUT_FinalEnergyCons!$A$4:$A$10000)))*1,[1]OUT_FinalEnergyCons!G$4:G$10000)</f>
        <v>0.3159297445002881</v>
      </c>
      <c r="J1860" s="1" cm="1">
        <f t="array" ref="J1860">SUMPRODUCT(([1]OUT_FinalEnergyCons!$B$4:$B$10000="Var_cap")*1,  (ISNUMBER(SEARCH("ITOT-SWHELCHP",[1]OUT_FinalEnergyCons!$A$4:$A$10000)))*1,[1]OUT_FinalEnergyCons!H$4:H$10000)</f>
        <v>0.31995119974283459</v>
      </c>
      <c r="K1860" s="1" cm="1">
        <f t="array" ref="K1860">SUMPRODUCT(([1]OUT_FinalEnergyCons!$B$4:$B$10000="Var_cap")*1,  (ISNUMBER(SEARCH("ITOT-SWHELCHP",[1]OUT_FinalEnergyCons!$A$4:$A$10000)))*1,[1]OUT_FinalEnergyCons!I$4:I$10000)</f>
        <v>0.32123824276706675</v>
      </c>
    </row>
    <row r="1861" spans="2:11" x14ac:dyDescent="0.35">
      <c r="B1861" s="5" t="str">
        <f>B1860</f>
        <v>SPS1</v>
      </c>
      <c r="C1861" s="5" t="str">
        <f>C1860</f>
        <v>CH</v>
      </c>
      <c r="D1861" t="s">
        <v>2097</v>
      </c>
      <c r="E1861" t="str">
        <f t="shared" si="1175"/>
        <v>GWth/yr.</v>
      </c>
      <c r="F1861" s="18">
        <f>SUM(F1862:F1863)</f>
        <v>0.47718392623150591</v>
      </c>
      <c r="G1861" s="18">
        <f t="shared" ref="G1861:K1861" si="1265">SUM(G1862:G1863)</f>
        <v>0.48410295277874221</v>
      </c>
      <c r="H1861" s="18">
        <f t="shared" si="1265"/>
        <v>0.38337180394689568</v>
      </c>
      <c r="I1861" s="18">
        <f t="shared" si="1265"/>
        <v>0.3819012368481734</v>
      </c>
      <c r="J1861" s="18">
        <f t="shared" si="1265"/>
        <v>0.1579764530334985</v>
      </c>
      <c r="K1861" s="18">
        <f t="shared" si="1265"/>
        <v>1.6666626039830885E-2</v>
      </c>
    </row>
    <row r="1862" spans="2:11" x14ac:dyDescent="0.35">
      <c r="B1862" s="5" t="str">
        <f t="shared" ref="B1862:B1879" si="1266">B1861</f>
        <v>SPS1</v>
      </c>
      <c r="C1862" s="5" t="str">
        <f t="shared" ref="C1862:C1879" si="1267">C1861</f>
        <v>CH</v>
      </c>
      <c r="D1862" t="s">
        <v>2098</v>
      </c>
      <c r="E1862" t="str">
        <f t="shared" si="1175"/>
        <v>GWth/yr.</v>
      </c>
      <c r="F1862" s="1" cm="1">
        <f t="array" ref="F1862">SUMPRODUCT(([1]OUT_FinalEnergyCons!$B$4:$B$10000="Var_cap")*1,  (ISNUMBER(SEARCH("ITOT-SWHLFOBR",[1]OUT_FinalEnergyCons!$A$4:$A$10000)))*1,[1]OUT_FinalEnergyCons!D$4:D$10000)</f>
        <v>0.37633543963083199</v>
      </c>
      <c r="G1862" s="1" cm="1">
        <f t="array" ref="G1862">SUMPRODUCT(([1]OUT_FinalEnergyCons!$B$4:$B$10000="Var_cap")*1,  (ISNUMBER(SEARCH("ITOT-SWHLFOBR",[1]OUT_FinalEnergyCons!$A$4:$A$10000)))*1,[1]OUT_FinalEnergyCons!E$4:E$10000)</f>
        <v>0.38331551461956387</v>
      </c>
      <c r="H1862" s="1" cm="1">
        <f t="array" ref="H1862">SUMPRODUCT(([1]OUT_FinalEnergyCons!$B$4:$B$10000="Var_cap")*1,  (ISNUMBER(SEARCH("ITOT-SWHLFOBR",[1]OUT_FinalEnergyCons!$A$4:$A$10000)))*1,[1]OUT_FinalEnergyCons!F$4:F$10000)</f>
        <v>0.38325411019304978</v>
      </c>
      <c r="I1862" s="1" cm="1">
        <f t="array" ref="I1862">SUMPRODUCT(([1]OUT_FinalEnergyCons!$B$4:$B$10000="Var_cap")*1,  (ISNUMBER(SEARCH("ITOT-SWHLFOBR",[1]OUT_FinalEnergyCons!$A$4:$A$10000)))*1,[1]OUT_FinalEnergyCons!G$4:G$10000)</f>
        <v>0.38188671732136714</v>
      </c>
      <c r="J1862" s="1" cm="1">
        <f t="array" ref="J1862">SUMPRODUCT(([1]OUT_FinalEnergyCons!$B$4:$B$10000="Var_cap")*1,  (ISNUMBER(SEARCH("ITOT-SWHLFOBR",[1]OUT_FinalEnergyCons!$A$4:$A$10000)))*1,[1]OUT_FinalEnergyCons!H$4:H$10000)</f>
        <v>0.1579230848710351</v>
      </c>
      <c r="K1862" s="1" cm="1">
        <f t="array" ref="K1862">SUMPRODUCT(([1]OUT_FinalEnergyCons!$B$4:$B$10000="Var_cap")*1,  (ISNUMBER(SEARCH("ITOT-SWHLFOBR",[1]OUT_FinalEnergyCons!$A$4:$A$10000)))*1,[1]OUT_FinalEnergyCons!I$4:I$10000)</f>
        <v>1.6669532590842598E-2</v>
      </c>
    </row>
    <row r="1863" spans="2:11" x14ac:dyDescent="0.35">
      <c r="B1863" s="5" t="str">
        <f t="shared" si="1266"/>
        <v>SPS1</v>
      </c>
      <c r="C1863" s="5" t="str">
        <f t="shared" si="1267"/>
        <v>CH</v>
      </c>
      <c r="D1863" t="s">
        <v>2099</v>
      </c>
      <c r="E1863" t="str">
        <f t="shared" si="1175"/>
        <v>GWth/yr.</v>
      </c>
      <c r="F1863" s="1" cm="1">
        <f t="array" ref="F1863">SUMPRODUCT(([1]OUT_FinalEnergyCons!$B$4:$B$10000="Var_cap")*1,  (ISNUMBER(SEARCH("ITOT-SWHHFOBR",[1]OUT_FinalEnergyCons!$A$4:$A$10000)))*1,[1]OUT_FinalEnergyCons!D$4:D$10000)</f>
        <v>0.10084848660067391</v>
      </c>
      <c r="G1863" s="1" cm="1">
        <f t="array" ref="G1863">SUMPRODUCT(([1]OUT_FinalEnergyCons!$B$4:$B$10000="Var_cap")*1,  (ISNUMBER(SEARCH("ITOT-SWHHFOBR",[1]OUT_FinalEnergyCons!$A$4:$A$10000)))*1,[1]OUT_FinalEnergyCons!E$4:E$10000)</f>
        <v>0.10078743815917834</v>
      </c>
      <c r="H1863" s="1" cm="1">
        <f t="array" ref="H1863">SUMPRODUCT(([1]OUT_FinalEnergyCons!$B$4:$B$10000="Var_cap")*1,  (ISNUMBER(SEARCH("ITOT-SWHHFOBR",[1]OUT_FinalEnergyCons!$A$4:$A$10000)))*1,[1]OUT_FinalEnergyCons!F$4:F$10000)</f>
        <v>1.1769375384591829E-4</v>
      </c>
      <c r="I1863" s="1" cm="1">
        <f t="array" ref="I1863">SUMPRODUCT(([1]OUT_FinalEnergyCons!$B$4:$B$10000="Var_cap")*1,  (ISNUMBER(SEARCH("ITOT-SWHHFOBR",[1]OUT_FinalEnergyCons!$A$4:$A$10000)))*1,[1]OUT_FinalEnergyCons!G$4:G$10000)</f>
        <v>1.4519526806242022E-5</v>
      </c>
      <c r="J1863" s="1" cm="1">
        <f t="array" ref="J1863">SUMPRODUCT(([1]OUT_FinalEnergyCons!$B$4:$B$10000="Var_cap")*1,  (ISNUMBER(SEARCH("ITOT-SWHHFOBR",[1]OUT_FinalEnergyCons!$A$4:$A$10000)))*1,[1]OUT_FinalEnergyCons!H$4:H$10000)</f>
        <v>5.3368162463408159E-5</v>
      </c>
      <c r="K1863" s="1" cm="1">
        <f t="array" ref="K1863">SUMPRODUCT(([1]OUT_FinalEnergyCons!$B$4:$B$10000="Var_cap")*1,  (ISNUMBER(SEARCH("ITOT-SWHHFOBR",[1]OUT_FinalEnergyCons!$A$4:$A$10000)))*1,[1]OUT_FinalEnergyCons!I$4:I$10000)</f>
        <v>-2.9065510117116971E-6</v>
      </c>
    </row>
    <row r="1864" spans="2:11" x14ac:dyDescent="0.35">
      <c r="B1864" s="5" t="str">
        <f t="shared" si="1266"/>
        <v>SPS1</v>
      </c>
      <c r="C1864" s="5" t="str">
        <f t="shared" si="1267"/>
        <v>CH</v>
      </c>
      <c r="D1864" t="s">
        <v>2100</v>
      </c>
      <c r="E1864" t="str">
        <f t="shared" si="1175"/>
        <v>GWth/yr.</v>
      </c>
      <c r="F1864" s="18">
        <f>SUM(F1865:F1866)</f>
        <v>1.556581895256</v>
      </c>
      <c r="G1864" s="18">
        <f t="shared" ref="G1864:K1864" si="1268">SUM(G1865:G1866)</f>
        <v>1.5571715094276186</v>
      </c>
      <c r="H1864" s="18">
        <f t="shared" si="1268"/>
        <v>1.5571570481561128</v>
      </c>
      <c r="I1864" s="18">
        <f t="shared" si="1268"/>
        <v>1.2647734771931267</v>
      </c>
      <c r="J1864" s="18">
        <f t="shared" si="1268"/>
        <v>0.69768729162928367</v>
      </c>
      <c r="K1864" s="18">
        <f t="shared" si="1268"/>
        <v>0.19416658811381782</v>
      </c>
    </row>
    <row r="1865" spans="2:11" x14ac:dyDescent="0.35">
      <c r="B1865" s="5" t="str">
        <f t="shared" si="1266"/>
        <v>SPS1</v>
      </c>
      <c r="C1865" s="5" t="str">
        <f t="shared" si="1267"/>
        <v>CH</v>
      </c>
      <c r="D1865" t="s">
        <v>2101</v>
      </c>
      <c r="E1865" t="str">
        <f t="shared" si="1175"/>
        <v>GWth/yr.</v>
      </c>
      <c r="F1865" s="1" cm="1">
        <f t="array" ref="F1865">SUMPRODUCT(([1]OUT_FinalEnergyCons!$B$4:$B$10000="Var_cap")*1,  (ISNUMBER(SEARCH("ITOT-SWHNGA*BR",[1]OUT_FinalEnergyCons!$A$4:$A$10000)))*1,[1]OUT_FinalEnergyCons!D$4:D$10000)</f>
        <v>1.556581895256</v>
      </c>
      <c r="G1865" s="1" cm="1">
        <f t="array" ref="G1865">SUMPRODUCT(([1]OUT_FinalEnergyCons!$B$4:$B$10000="Var_cap")*1,  (ISNUMBER(SEARCH("ITOT-SWHNGA*BR",[1]OUT_FinalEnergyCons!$A$4:$A$10000)))*1,[1]OUT_FinalEnergyCons!E$4:E$10000)</f>
        <v>1.5565753560360323</v>
      </c>
      <c r="H1865" s="1" cm="1">
        <f t="array" ref="H1865">SUMPRODUCT(([1]OUT_FinalEnergyCons!$B$4:$B$10000="Var_cap")*1,  (ISNUMBER(SEARCH("ITOT-SWHNGA*BR",[1]OUT_FinalEnergyCons!$A$4:$A$10000)))*1,[1]OUT_FinalEnergyCons!F$4:F$10000)</f>
        <v>1.5565600396862562</v>
      </c>
      <c r="I1865" s="1" cm="1">
        <f t="array" ref="I1865">SUMPRODUCT(([1]OUT_FinalEnergyCons!$B$4:$B$10000="Var_cap")*1,  (ISNUMBER(SEARCH("ITOT-SWHNGA*BR",[1]OUT_FinalEnergyCons!$A$4:$A$10000)))*1,[1]OUT_FinalEnergyCons!G$4:G$10000)</f>
        <v>1.2641751354796547</v>
      </c>
      <c r="J1865" s="1" cm="1">
        <f t="array" ref="J1865">SUMPRODUCT(([1]OUT_FinalEnergyCons!$B$4:$B$10000="Var_cap")*1,  (ISNUMBER(SEARCH("ITOT-SWHNGA*BR",[1]OUT_FinalEnergyCons!$A$4:$A$10000)))*1,[1]OUT_FinalEnergyCons!H$4:H$10000)</f>
        <v>0.69703996796701617</v>
      </c>
      <c r="K1865" s="1" cm="1">
        <f t="array" ref="K1865">SUMPRODUCT(([1]OUT_FinalEnergyCons!$B$4:$B$10000="Var_cap")*1,  (ISNUMBER(SEARCH("ITOT-SWHNGA*BR",[1]OUT_FinalEnergyCons!$A$4:$A$10000)))*1,[1]OUT_FinalEnergyCons!I$4:I$10000)</f>
        <v>0.19356817524605302</v>
      </c>
    </row>
    <row r="1866" spans="2:11" x14ac:dyDescent="0.35">
      <c r="B1866" s="5" t="str">
        <f t="shared" si="1266"/>
        <v>SPS1</v>
      </c>
      <c r="C1866" s="5" t="str">
        <f t="shared" si="1267"/>
        <v>CH</v>
      </c>
      <c r="D1866" t="s">
        <v>2102</v>
      </c>
      <c r="E1866" t="str">
        <f t="shared" si="1175"/>
        <v>GWth/yr.</v>
      </c>
      <c r="F1866" s="1" cm="1">
        <f t="array" ref="F1866">SUMPRODUCT(([1]OUT_FinalEnergyCons!$B$4:$B$10000="Var_cap")*1,  (ISNUMBER(SEARCH("ITOT-SWHNGAHP",[1]OUT_FinalEnergyCons!$A$4:$A$10000)))*1,[1]OUT_FinalEnergyCons!D$4:D$10000)</f>
        <v>0</v>
      </c>
      <c r="G1866" s="1" cm="1">
        <f t="array" ref="G1866">SUMPRODUCT(([1]OUT_FinalEnergyCons!$B$4:$B$10000="Var_cap")*1,  (ISNUMBER(SEARCH("ITOT-SWHNGAHP",[1]OUT_FinalEnergyCons!$A$4:$A$10000)))*1,[1]OUT_FinalEnergyCons!E$4:E$10000)</f>
        <v>5.9615339158632704E-4</v>
      </c>
      <c r="H1866" s="1" cm="1">
        <f t="array" ref="H1866">SUMPRODUCT(([1]OUT_FinalEnergyCons!$B$4:$B$10000="Var_cap")*1,  (ISNUMBER(SEARCH("ITOT-SWHNGAHP",[1]OUT_FinalEnergyCons!$A$4:$A$10000)))*1,[1]OUT_FinalEnergyCons!F$4:F$10000)</f>
        <v>5.9700846985664253E-4</v>
      </c>
      <c r="I1866" s="1" cm="1">
        <f t="array" ref="I1866">SUMPRODUCT(([1]OUT_FinalEnergyCons!$B$4:$B$10000="Var_cap")*1,  (ISNUMBER(SEARCH("ITOT-SWHNGAHP",[1]OUT_FinalEnergyCons!$A$4:$A$10000)))*1,[1]OUT_FinalEnergyCons!G$4:G$10000)</f>
        <v>5.9834171347215945E-4</v>
      </c>
      <c r="J1866" s="1" cm="1">
        <f t="array" ref="J1866">SUMPRODUCT(([1]OUT_FinalEnergyCons!$B$4:$B$10000="Var_cap")*1,  (ISNUMBER(SEARCH("ITOT-SWHNGAHP",[1]OUT_FinalEnergyCons!$A$4:$A$10000)))*1,[1]OUT_FinalEnergyCons!H$4:H$10000)</f>
        <v>6.4732366226748217E-4</v>
      </c>
      <c r="K1866" s="1" cm="1">
        <f t="array" ref="K1866">SUMPRODUCT(([1]OUT_FinalEnergyCons!$B$4:$B$10000="Var_cap")*1,  (ISNUMBER(SEARCH("ITOT-SWHNGAHP",[1]OUT_FinalEnergyCons!$A$4:$A$10000)))*1,[1]OUT_FinalEnergyCons!I$4:I$10000)</f>
        <v>5.9841286776479024E-4</v>
      </c>
    </row>
    <row r="1867" spans="2:11" x14ac:dyDescent="0.35">
      <c r="B1867" s="5" t="str">
        <f t="shared" si="1266"/>
        <v>SPS1</v>
      </c>
      <c r="C1867" s="5" t="str">
        <f t="shared" si="1267"/>
        <v>CH</v>
      </c>
      <c r="D1867" t="s">
        <v>2103</v>
      </c>
      <c r="E1867" t="str">
        <f t="shared" si="1175"/>
        <v>GWth/yr.</v>
      </c>
      <c r="F1867" s="1" cm="1">
        <f t="array" ref="F1867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67" s="1" cm="1">
        <f t="array" ref="G1867">SUMPRODUCT(([1]OUT_FinalEnergyCons!$B$4:$B$10000="Var_cap")*1,  (("ITOT-SWHBIOBR"=[1]OUT_FinalEnergyCons!$A$4:$A$10000)*1+("ITOT-SWHBNGABR"=[1]OUT_FinalEnergyCons!$A$4:$A$10000))*1,[1]OUT_FinalEnergyCons!E$4:E$10000)</f>
        <v>3.3950560981642279E-2</v>
      </c>
      <c r="H1867" s="1" cm="1">
        <f t="array" ref="H1867">SUMPRODUCT(([1]OUT_FinalEnergyCons!$B$4:$B$10000="Var_cap")*1,  (("ITOT-SWHBIOBR"=[1]OUT_FinalEnergyCons!$A$4:$A$10000)*1+("ITOT-SWHBNGABR"=[1]OUT_FinalEnergyCons!$A$4:$A$10000))*1,[1]OUT_FinalEnergyCons!F$4:F$10000)</f>
        <v>0.17954617157658775</v>
      </c>
      <c r="I1867" s="1" cm="1">
        <f t="array" ref="I1867">SUMPRODUCT(([1]OUT_FinalEnergyCons!$B$4:$B$10000="Var_cap")*1,  (("ITOT-SWHBIOBR"=[1]OUT_FinalEnergyCons!$A$4:$A$10000)*1+("ITOT-SWHBNGABR"=[1]OUT_FinalEnergyCons!$A$4:$A$10000))*1,[1]OUT_FinalEnergyCons!G$4:G$10000)</f>
        <v>0.33426285172397552</v>
      </c>
      <c r="J1867" s="1" cm="1">
        <f t="array" ref="J1867">SUMPRODUCT(([1]OUT_FinalEnergyCons!$B$4:$B$10000="Var_cap")*1,  (("ITOT-SWHBIOBR"=[1]OUT_FinalEnergyCons!$A$4:$A$10000)*1+("ITOT-SWHBNGABR"=[1]OUT_FinalEnergyCons!$A$4:$A$10000))*1,[1]OUT_FinalEnergyCons!H$4:H$10000)</f>
        <v>0.5941369993792277</v>
      </c>
      <c r="K1867" s="1" cm="1">
        <f t="array" ref="K1867">SUMPRODUCT(([1]OUT_FinalEnergyCons!$B$4:$B$10000="Var_cap")*1,  (("ITOT-SWHBIOBR"=[1]OUT_FinalEnergyCons!$A$4:$A$10000)*1+("ITOT-SWHBNGABR"=[1]OUT_FinalEnergyCons!$A$4:$A$10000))*1,[1]OUT_FinalEnergyCons!I$4:I$10000)</f>
        <v>0.47180186012685432</v>
      </c>
    </row>
    <row r="1868" spans="2:11" x14ac:dyDescent="0.35">
      <c r="B1868" s="5" t="str">
        <f t="shared" si="1266"/>
        <v>SPS1</v>
      </c>
      <c r="C1868" s="5" t="str">
        <f t="shared" si="1267"/>
        <v>CH</v>
      </c>
      <c r="D1868" t="s">
        <v>2104</v>
      </c>
      <c r="E1868" t="str">
        <f t="shared" si="1175"/>
        <v>GWth/yr.</v>
      </c>
      <c r="F1868" s="1">
        <f>F1869</f>
        <v>0.26172155007150499</v>
      </c>
      <c r="G1868" s="1">
        <f t="shared" ref="G1868:K1868" si="1269">G1869</f>
        <v>0.14801985616645691</v>
      </c>
      <c r="H1868" s="1">
        <f t="shared" si="1269"/>
        <v>6.4213980090554512E-2</v>
      </c>
      <c r="I1868" s="1">
        <f t="shared" si="1269"/>
        <v>1.0768238929814711E-5</v>
      </c>
      <c r="J1868" s="1">
        <f t="shared" si="1269"/>
        <v>4.0726320588473543E-5</v>
      </c>
      <c r="K1868" s="1">
        <f t="shared" si="1269"/>
        <v>1.3063943952190302E-5</v>
      </c>
    </row>
    <row r="1869" spans="2:11" x14ac:dyDescent="0.35">
      <c r="B1869" s="5" t="str">
        <f t="shared" si="1266"/>
        <v>SPS1</v>
      </c>
      <c r="C1869" s="5" t="str">
        <f t="shared" si="1267"/>
        <v>CH</v>
      </c>
      <c r="D1869" t="s">
        <v>2105</v>
      </c>
      <c r="E1869" t="str">
        <f t="shared" si="1175"/>
        <v>GWth/yr.</v>
      </c>
      <c r="F1869" s="1" cm="1">
        <f t="array" ref="F1869">SUMPRODUCT(([1]OUT_FinalEnergyCons!$B$4:$B$10000="Var_cap")*1,  (ISNUMBER(SEARCH("ITOT-SWHCOA*BR",[1]OUT_FinalEnergyCons!$A$4:$A$10000)))*1,[1]OUT_FinalEnergyCons!D$4:D$10000)</f>
        <v>0.26172155007150499</v>
      </c>
      <c r="G1869" s="1" cm="1">
        <f t="array" ref="G1869">SUMPRODUCT(([1]OUT_FinalEnergyCons!$B$4:$B$10000="Var_cap")*1,  (ISNUMBER(SEARCH("ITOT-SWHCOA*BR",[1]OUT_FinalEnergyCons!$A$4:$A$10000)))*1,[1]OUT_FinalEnergyCons!E$4:E$10000)</f>
        <v>0.14801985616645691</v>
      </c>
      <c r="H1869" s="1" cm="1">
        <f t="array" ref="H1869">SUMPRODUCT(([1]OUT_FinalEnergyCons!$B$4:$B$10000="Var_cap")*1,  (ISNUMBER(SEARCH("ITOT-SWHCOA*BR",[1]OUT_FinalEnergyCons!$A$4:$A$10000)))*1,[1]OUT_FinalEnergyCons!F$4:F$10000)</f>
        <v>6.4213980090554512E-2</v>
      </c>
      <c r="I1869" s="1" cm="1">
        <f t="array" ref="I1869">SUMPRODUCT(([1]OUT_FinalEnergyCons!$B$4:$B$10000="Var_cap")*1,  (ISNUMBER(SEARCH("ITOT-SWHCOA*BR",[1]OUT_FinalEnergyCons!$A$4:$A$10000)))*1,[1]OUT_FinalEnergyCons!G$4:G$10000)</f>
        <v>1.0768238929814711E-5</v>
      </c>
      <c r="J1869" s="1" cm="1">
        <f t="array" ref="J1869">SUMPRODUCT(([1]OUT_FinalEnergyCons!$B$4:$B$10000="Var_cap")*1,  (ISNUMBER(SEARCH("ITOT-SWHCOA*BR",[1]OUT_FinalEnergyCons!$A$4:$A$10000)))*1,[1]OUT_FinalEnergyCons!H$4:H$10000)</f>
        <v>4.0726320588473543E-5</v>
      </c>
      <c r="K1869" s="1" cm="1">
        <f t="array" ref="K1869">SUMPRODUCT(([1]OUT_FinalEnergyCons!$B$4:$B$10000="Var_cap")*1,  (ISNUMBER(SEARCH("ITOT-SWHCOA*BR",[1]OUT_FinalEnergyCons!$A$4:$A$10000)))*1,[1]OUT_FinalEnergyCons!I$4:I$10000)</f>
        <v>1.3063943952190302E-5</v>
      </c>
    </row>
    <row r="1870" spans="2:11" x14ac:dyDescent="0.35">
      <c r="B1870" s="5" t="str">
        <f t="shared" si="1266"/>
        <v>SPS1</v>
      </c>
      <c r="C1870" s="5" t="str">
        <f t="shared" si="1267"/>
        <v>CH</v>
      </c>
      <c r="D1870" t="s">
        <v>2106</v>
      </c>
      <c r="E1870" t="str">
        <f t="shared" si="1175"/>
        <v>GWth/yr.</v>
      </c>
      <c r="F1870" s="1">
        <f>F1871</f>
        <v>0.28883369534761499</v>
      </c>
      <c r="G1870" s="1">
        <f t="shared" ref="G1870:K1870" si="1270">G1871</f>
        <v>0.34096044050786467</v>
      </c>
      <c r="H1870" s="1">
        <f t="shared" si="1270"/>
        <v>0.33912978749307759</v>
      </c>
      <c r="I1870" s="1">
        <f t="shared" si="1270"/>
        <v>0.33908199962218599</v>
      </c>
      <c r="J1870" s="1">
        <f t="shared" si="1270"/>
        <v>0.25798149892107591</v>
      </c>
      <c r="K1870" s="1">
        <f t="shared" si="1270"/>
        <v>0.16507507567171065</v>
      </c>
    </row>
    <row r="1871" spans="2:11" x14ac:dyDescent="0.35">
      <c r="B1871" s="5" t="str">
        <f t="shared" si="1266"/>
        <v>SPS1</v>
      </c>
      <c r="C1871" s="5" t="str">
        <f t="shared" si="1267"/>
        <v>CH</v>
      </c>
      <c r="D1871" t="s">
        <v>2107</v>
      </c>
      <c r="E1871" t="str">
        <f t="shared" si="1175"/>
        <v>GWth/yr.</v>
      </c>
      <c r="F1871" s="1" cm="1">
        <f t="array" ref="F1871">SUMPRODUCT(([1]OUT_FinalEnergyCons!$B$4:$B$10000="Var_cap")*1,  (ISNUMBER(SEARCH("ITOT-SWHWOD*BR",[1]OUT_FinalEnergyCons!$A$4:$A$10000)))*1,[1]OUT_FinalEnergyCons!D$4:D$10000)</f>
        <v>0.28883369534761499</v>
      </c>
      <c r="G1871" s="1" cm="1">
        <f t="array" ref="G1871">SUMPRODUCT(([1]OUT_FinalEnergyCons!$B$4:$B$10000="Var_cap")*1,  (ISNUMBER(SEARCH("ITOT-SWHWOD*BR",[1]OUT_FinalEnergyCons!$A$4:$A$10000)))*1,[1]OUT_FinalEnergyCons!E$4:E$10000)</f>
        <v>0.34096044050786467</v>
      </c>
      <c r="H1871" s="1" cm="1">
        <f t="array" ref="H1871">SUMPRODUCT(([1]OUT_FinalEnergyCons!$B$4:$B$10000="Var_cap")*1,  (ISNUMBER(SEARCH("ITOT-SWHWOD*BR",[1]OUT_FinalEnergyCons!$A$4:$A$10000)))*1,[1]OUT_FinalEnergyCons!F$4:F$10000)</f>
        <v>0.33912978749307759</v>
      </c>
      <c r="I1871" s="1" cm="1">
        <f t="array" ref="I1871">SUMPRODUCT(([1]OUT_FinalEnergyCons!$B$4:$B$10000="Var_cap")*1,  (ISNUMBER(SEARCH("ITOT-SWHWOD*BR",[1]OUT_FinalEnergyCons!$A$4:$A$10000)))*1,[1]OUT_FinalEnergyCons!G$4:G$10000)</f>
        <v>0.33908199962218599</v>
      </c>
      <c r="J1871" s="1" cm="1">
        <f t="array" ref="J1871">SUMPRODUCT(([1]OUT_FinalEnergyCons!$B$4:$B$10000="Var_cap")*1,  (ISNUMBER(SEARCH("ITOT-SWHWOD*BR",[1]OUT_FinalEnergyCons!$A$4:$A$10000)))*1,[1]OUT_FinalEnergyCons!H$4:H$10000)</f>
        <v>0.25798149892107591</v>
      </c>
      <c r="K1871" s="1" cm="1">
        <f t="array" ref="K1871">SUMPRODUCT(([1]OUT_FinalEnergyCons!$B$4:$B$10000="Var_cap")*1,  (ISNUMBER(SEARCH("ITOT-SWHWOD*BR",[1]OUT_FinalEnergyCons!$A$4:$A$10000)))*1,[1]OUT_FinalEnergyCons!I$4:I$10000)</f>
        <v>0.16507507567171065</v>
      </c>
    </row>
    <row r="1872" spans="2:11" x14ac:dyDescent="0.35">
      <c r="B1872" s="5" t="str">
        <f t="shared" si="1266"/>
        <v>SPS1</v>
      </c>
      <c r="C1872" s="5" t="str">
        <f t="shared" si="1267"/>
        <v>CH</v>
      </c>
      <c r="D1872" t="s">
        <v>2108</v>
      </c>
      <c r="E1872" t="str">
        <f t="shared" si="1175"/>
        <v>GWth/yr.</v>
      </c>
      <c r="F1872" s="1">
        <f>F1873</f>
        <v>2.9860759506449799E-2</v>
      </c>
      <c r="G1872" s="1">
        <f t="shared" ref="G1872:K1872" si="1271">G1873</f>
        <v>3.7931791444288557E-2</v>
      </c>
      <c r="H1872" s="1">
        <f t="shared" si="1271"/>
        <v>0.16471287940342091</v>
      </c>
      <c r="I1872" s="1">
        <f t="shared" si="1271"/>
        <v>0.17296516227257697</v>
      </c>
      <c r="J1872" s="1">
        <f t="shared" si="1271"/>
        <v>0.21760340052929142</v>
      </c>
      <c r="K1872" s="1">
        <f t="shared" si="1271"/>
        <v>0.20797204539190578</v>
      </c>
    </row>
    <row r="1873" spans="2:11" x14ac:dyDescent="0.35">
      <c r="B1873" s="5" t="str">
        <f t="shared" si="1266"/>
        <v>SPS1</v>
      </c>
      <c r="C1873" s="5" t="str">
        <f t="shared" si="1267"/>
        <v>CH</v>
      </c>
      <c r="D1873" t="s">
        <v>2109</v>
      </c>
      <c r="E1873" t="str">
        <f t="shared" si="1175"/>
        <v>GWth/yr.</v>
      </c>
      <c r="F1873" s="1" cm="1">
        <f t="array" ref="F1873">SUMPRODUCT(([1]OUT_FinalEnergyCons!$B$4:$B$10000="Var_cap")*1,  (ISNUMBER(SEARCH("ITOT-SWHPLT*BR",[1]OUT_FinalEnergyCons!$A$4:$A$10000)))*1,[1]OUT_FinalEnergyCons!D$4:D$10000)</f>
        <v>2.9860759506449799E-2</v>
      </c>
      <c r="G1873" s="1" cm="1">
        <f t="array" ref="G1873">SUMPRODUCT(([1]OUT_FinalEnergyCons!$B$4:$B$10000="Var_cap")*1,  (ISNUMBER(SEARCH("ITOT-SWHPLT*BR",[1]OUT_FinalEnergyCons!$A$4:$A$10000)))*1,[1]OUT_FinalEnergyCons!E$4:E$10000)</f>
        <v>3.7931791444288557E-2</v>
      </c>
      <c r="H1873" s="1" cm="1">
        <f t="array" ref="H1873">SUMPRODUCT(([1]OUT_FinalEnergyCons!$B$4:$B$10000="Var_cap")*1,  (ISNUMBER(SEARCH("ITOT-SWHPLT*BR",[1]OUT_FinalEnergyCons!$A$4:$A$10000)))*1,[1]OUT_FinalEnergyCons!F$4:F$10000)</f>
        <v>0.16471287940342091</v>
      </c>
      <c r="I1873" s="1" cm="1">
        <f t="array" ref="I1873">SUMPRODUCT(([1]OUT_FinalEnergyCons!$B$4:$B$10000="Var_cap")*1,  (ISNUMBER(SEARCH("ITOT-SWHPLT*BR",[1]OUT_FinalEnergyCons!$A$4:$A$10000)))*1,[1]OUT_FinalEnergyCons!G$4:G$10000)</f>
        <v>0.17296516227257697</v>
      </c>
      <c r="J1873" s="1" cm="1">
        <f t="array" ref="J1873">SUMPRODUCT(([1]OUT_FinalEnergyCons!$B$4:$B$10000="Var_cap")*1,  (ISNUMBER(SEARCH("ITOT-SWHPLT*BR",[1]OUT_FinalEnergyCons!$A$4:$A$10000)))*1,[1]OUT_FinalEnergyCons!H$4:H$10000)</f>
        <v>0.21760340052929142</v>
      </c>
      <c r="K1873" s="1" cm="1">
        <f t="array" ref="K1873">SUMPRODUCT(([1]OUT_FinalEnergyCons!$B$4:$B$10000="Var_cap")*1,  (ISNUMBER(SEARCH("ITOT-SWHPLT*BR",[1]OUT_FinalEnergyCons!$A$4:$A$10000)))*1,[1]OUT_FinalEnergyCons!I$4:I$10000)</f>
        <v>0.20797204539190578</v>
      </c>
    </row>
    <row r="1874" spans="2:11" x14ac:dyDescent="0.35">
      <c r="B1874" s="5" t="str">
        <f t="shared" si="1266"/>
        <v>SPS1</v>
      </c>
      <c r="C1874" s="5" t="str">
        <f t="shared" si="1267"/>
        <v>CH</v>
      </c>
      <c r="D1874" t="s">
        <v>2110</v>
      </c>
      <c r="E1874" t="str">
        <f t="shared" si="1175"/>
        <v>GWth/yr.</v>
      </c>
      <c r="F1874" s="1">
        <f>F1875</f>
        <v>0.35954682816669398</v>
      </c>
      <c r="G1874" s="1">
        <f t="shared" ref="G1874:K1874" si="1272">G1875</f>
        <v>0.26077245164371043</v>
      </c>
      <c r="H1874" s="1">
        <f t="shared" si="1272"/>
        <v>0.25187718922795727</v>
      </c>
      <c r="I1874" s="1">
        <f t="shared" si="1272"/>
        <v>0.19119843309000584</v>
      </c>
      <c r="J1874" s="1">
        <f t="shared" si="1272"/>
        <v>0.16736558583258296</v>
      </c>
      <c r="K1874" s="1">
        <f t="shared" si="1272"/>
        <v>5.0533129493698925E-5</v>
      </c>
    </row>
    <row r="1875" spans="2:11" x14ac:dyDescent="0.35">
      <c r="B1875" s="5" t="str">
        <f t="shared" si="1266"/>
        <v>SPS1</v>
      </c>
      <c r="C1875" s="5" t="str">
        <f t="shared" si="1267"/>
        <v>CH</v>
      </c>
      <c r="D1875" t="s">
        <v>2111</v>
      </c>
      <c r="E1875" t="str">
        <f t="shared" si="1175"/>
        <v>GWth/yr.</v>
      </c>
      <c r="F1875" s="1" cm="1">
        <f t="array" ref="F1875">SUMPRODUCT(([1]OUT_FinalEnergyCons!$B$4:$B$10000="Var_cap")*1,  (ISNUMBER(SEARCH("ITOT-SWHWST*BR",[1]OUT_FinalEnergyCons!$A$4:$A$10000)))*1,[1]OUT_FinalEnergyCons!D$4:D$10000)</f>
        <v>0.35954682816669398</v>
      </c>
      <c r="G1875" s="1" cm="1">
        <f t="array" ref="G1875">SUMPRODUCT(([1]OUT_FinalEnergyCons!$B$4:$B$10000="Var_cap")*1,  (ISNUMBER(SEARCH("ITOT-SWHWST*BR",[1]OUT_FinalEnergyCons!$A$4:$A$10000)))*1,[1]OUT_FinalEnergyCons!E$4:E$10000)</f>
        <v>0.26077245164371043</v>
      </c>
      <c r="H1875" s="1" cm="1">
        <f t="array" ref="H1875">SUMPRODUCT(([1]OUT_FinalEnergyCons!$B$4:$B$10000="Var_cap")*1,  (ISNUMBER(SEARCH("ITOT-SWHWST*BR",[1]OUT_FinalEnergyCons!$A$4:$A$10000)))*1,[1]OUT_FinalEnergyCons!F$4:F$10000)</f>
        <v>0.25187718922795727</v>
      </c>
      <c r="I1875" s="1" cm="1">
        <f t="array" ref="I1875">SUMPRODUCT(([1]OUT_FinalEnergyCons!$B$4:$B$10000="Var_cap")*1,  (ISNUMBER(SEARCH("ITOT-SWHWST*BR",[1]OUT_FinalEnergyCons!$A$4:$A$10000)))*1,[1]OUT_FinalEnergyCons!G$4:G$10000)</f>
        <v>0.19119843309000584</v>
      </c>
      <c r="J1875" s="1" cm="1">
        <f t="array" ref="J1875">SUMPRODUCT(([1]OUT_FinalEnergyCons!$B$4:$B$10000="Var_cap")*1,  (ISNUMBER(SEARCH("ITOT-SWHWST*BR",[1]OUT_FinalEnergyCons!$A$4:$A$10000)))*1,[1]OUT_FinalEnergyCons!H$4:H$10000)</f>
        <v>0.16736558583258296</v>
      </c>
      <c r="K1875" s="1" cm="1">
        <f t="array" ref="K1875">SUMPRODUCT(([1]OUT_FinalEnergyCons!$B$4:$B$10000="Var_cap")*1,  (ISNUMBER(SEARCH("ITOT-SWHWST*BR",[1]OUT_FinalEnergyCons!$A$4:$A$10000)))*1,[1]OUT_FinalEnergyCons!I$4:I$10000)</f>
        <v>5.0533129493698925E-5</v>
      </c>
    </row>
    <row r="1876" spans="2:11" x14ac:dyDescent="0.35">
      <c r="B1876" s="5" t="str">
        <f t="shared" si="1266"/>
        <v>SPS1</v>
      </c>
      <c r="C1876" s="5" t="str">
        <f t="shared" si="1267"/>
        <v>CH</v>
      </c>
      <c r="D1876" t="s">
        <v>2112</v>
      </c>
      <c r="E1876" t="str">
        <f t="shared" si="1175"/>
        <v>GWth/yr.</v>
      </c>
      <c r="F1876" s="1">
        <f>F1877</f>
        <v>9.8214799778629808E-3</v>
      </c>
      <c r="G1876" s="1">
        <f t="shared" ref="G1876:K1876" si="1273">G1877</f>
        <v>1.246500953770392E-2</v>
      </c>
      <c r="H1876" s="1">
        <f t="shared" si="1273"/>
        <v>1.246505859898229E-2</v>
      </c>
      <c r="I1876" s="1">
        <f t="shared" si="1273"/>
        <v>1.246510500499909E-2</v>
      </c>
      <c r="J1876" s="1">
        <f t="shared" si="1273"/>
        <v>1.2461008862595199E-2</v>
      </c>
      <c r="K1876" s="1">
        <f t="shared" si="1273"/>
        <v>1.24594093390238E-2</v>
      </c>
    </row>
    <row r="1877" spans="2:11" x14ac:dyDescent="0.35">
      <c r="B1877" s="5" t="str">
        <f t="shared" si="1266"/>
        <v>SPS1</v>
      </c>
      <c r="C1877" s="5" t="str">
        <f t="shared" si="1267"/>
        <v>CH</v>
      </c>
      <c r="D1877" t="s">
        <v>2113</v>
      </c>
      <c r="E1877" t="str">
        <f t="shared" si="1175"/>
        <v>GWth/yr.</v>
      </c>
      <c r="F1877" s="1" cm="1">
        <f t="array" ref="F1877">SUMPRODUCT(([1]OUT_FinalEnergyCons!$B$4:$B$10000="Var_cap")*1, (ISNUMBER(SEARCH("ITOT-SWHSOLBR",[1]OUT_FinalEnergyCons!$A$4:$A$10000)))*1,[1]OUT_FinalEnergyCons!D$4:D$10000)</f>
        <v>9.8214799778629808E-3</v>
      </c>
      <c r="G1877" s="1" cm="1">
        <f t="array" ref="G1877">SUMPRODUCT(([1]OUT_FinalEnergyCons!$B$4:$B$10000="Var_cap")*1, (ISNUMBER(SEARCH("ITOT-SWHSOLBR",[1]OUT_FinalEnergyCons!$A$4:$A$10000)))*1,[1]OUT_FinalEnergyCons!E$4:E$10000)</f>
        <v>1.246500953770392E-2</v>
      </c>
      <c r="H1877" s="1" cm="1">
        <f t="array" ref="H1877">SUMPRODUCT(([1]OUT_FinalEnergyCons!$B$4:$B$10000="Var_cap")*1, (ISNUMBER(SEARCH("ITOT-SWHSOLBR",[1]OUT_FinalEnergyCons!$A$4:$A$10000)))*1,[1]OUT_FinalEnergyCons!F$4:F$10000)</f>
        <v>1.246505859898229E-2</v>
      </c>
      <c r="I1877" s="1" cm="1">
        <f t="array" ref="I1877">SUMPRODUCT(([1]OUT_FinalEnergyCons!$B$4:$B$10000="Var_cap")*1, (ISNUMBER(SEARCH("ITOT-SWHSOLBR",[1]OUT_FinalEnergyCons!$A$4:$A$10000)))*1,[1]OUT_FinalEnergyCons!G$4:G$10000)</f>
        <v>1.246510500499909E-2</v>
      </c>
      <c r="J1877" s="1" cm="1">
        <f t="array" ref="J1877">SUMPRODUCT(([1]OUT_FinalEnergyCons!$B$4:$B$10000="Var_cap")*1, (ISNUMBER(SEARCH("ITOT-SWHSOLBR",[1]OUT_FinalEnergyCons!$A$4:$A$10000)))*1,[1]OUT_FinalEnergyCons!H$4:H$10000)</f>
        <v>1.2461008862595199E-2</v>
      </c>
      <c r="K1877" s="1" cm="1">
        <f t="array" ref="K1877">SUMPRODUCT(([1]OUT_FinalEnergyCons!$B$4:$B$10000="Var_cap")*1, (ISNUMBER(SEARCH("ITOT-SWHSOLBR",[1]OUT_FinalEnergyCons!$A$4:$A$10000)))*1,[1]OUT_FinalEnergyCons!I$4:I$10000)</f>
        <v>1.24594093390238E-2</v>
      </c>
    </row>
    <row r="1878" spans="2:11" x14ac:dyDescent="0.35">
      <c r="B1878" s="5" t="str">
        <f t="shared" si="1266"/>
        <v>SPS1</v>
      </c>
      <c r="C1878" s="5" t="str">
        <f t="shared" si="1267"/>
        <v>CH</v>
      </c>
      <c r="D1878" t="s">
        <v>2114</v>
      </c>
      <c r="E1878" t="str">
        <f t="shared" si="1175"/>
        <v>GWth/yr.</v>
      </c>
      <c r="F1878" s="1">
        <f>F1879</f>
        <v>0</v>
      </c>
      <c r="G1878" s="1">
        <f t="shared" ref="G1878:K1878" si="1274">G1879</f>
        <v>0</v>
      </c>
      <c r="H1878" s="1">
        <f t="shared" si="1274"/>
        <v>0</v>
      </c>
      <c r="I1878" s="1">
        <f t="shared" si="1274"/>
        <v>1.2727124359430901E-3</v>
      </c>
      <c r="J1878" s="1">
        <f t="shared" si="1274"/>
        <v>0.35189861520112847</v>
      </c>
      <c r="K1878" s="1">
        <f t="shared" si="1274"/>
        <v>1.248454206974996</v>
      </c>
    </row>
    <row r="1879" spans="2:11" x14ac:dyDescent="0.35">
      <c r="B1879" s="5" t="str">
        <f t="shared" si="1266"/>
        <v>SPS1</v>
      </c>
      <c r="C1879" s="5" t="str">
        <f t="shared" si="1267"/>
        <v>CH</v>
      </c>
      <c r="D1879" t="s">
        <v>2115</v>
      </c>
      <c r="E1879" t="str">
        <f t="shared" si="1175"/>
        <v>GWth/yr.</v>
      </c>
      <c r="F1879" s="1" cm="1">
        <f t="array" ref="F1879">SUMPRODUCT(([1]OUT_FinalEnergyCons!$B$4:$B$10000="Var_cap")*1, (ISNUMBER(SEARCH("ITOT-SWHH2BR",[1]OUT_FinalEnergyCons!$A$4:$A$10000)))*1,[1]OUT_FinalEnergyCons!D$4:D$10000)</f>
        <v>0</v>
      </c>
      <c r="G1879" s="1" cm="1">
        <f t="array" ref="G1879">SUMPRODUCT(([1]OUT_FinalEnergyCons!$B$4:$B$10000="Var_cap")*1, (ISNUMBER(SEARCH("ITOT-SWHH2BR",[1]OUT_FinalEnergyCons!$A$4:$A$10000)))*1,[1]OUT_FinalEnergyCons!E$4:E$10000)</f>
        <v>0</v>
      </c>
      <c r="H1879" s="1" cm="1">
        <f t="array" ref="H1879">SUMPRODUCT(([1]OUT_FinalEnergyCons!$B$4:$B$10000="Var_cap")*1, (ISNUMBER(SEARCH("ITOT-SWHH2BR",[1]OUT_FinalEnergyCons!$A$4:$A$10000)))*1,[1]OUT_FinalEnergyCons!F$4:F$10000)</f>
        <v>0</v>
      </c>
      <c r="I1879" s="1" cm="1">
        <f t="array" ref="I1879">SUMPRODUCT(([1]OUT_FinalEnergyCons!$B$4:$B$10000="Var_cap")*1, (ISNUMBER(SEARCH("ITOT-SWHH2BR",[1]OUT_FinalEnergyCons!$A$4:$A$10000)))*1,[1]OUT_FinalEnergyCons!G$4:G$10000)</f>
        <v>1.2727124359430901E-3</v>
      </c>
      <c r="J1879" s="1" cm="1">
        <f t="array" ref="J1879">SUMPRODUCT(([1]OUT_FinalEnergyCons!$B$4:$B$10000="Var_cap")*1, (ISNUMBER(SEARCH("ITOT-SWHH2BR",[1]OUT_FinalEnergyCons!$A$4:$A$10000)))*1,[1]OUT_FinalEnergyCons!H$4:H$10000)</f>
        <v>0.35189861520112847</v>
      </c>
      <c r="K1879" s="1" cm="1">
        <f t="array" ref="K1879">SUMPRODUCT(([1]OUT_FinalEnergyCons!$B$4:$B$10000="Var_cap")*1, (ISNUMBER(SEARCH("ITOT-SWHH2BR",[1]OUT_FinalEnergyCons!$A$4:$A$10000)))*1,[1]OUT_FinalEnergyCons!I$4:I$10000)</f>
        <v>1.248454206974996</v>
      </c>
    </row>
    <row r="1880" spans="2:11" x14ac:dyDescent="0.35">
      <c r="B1880" s="9" t="str">
        <f>B1808</f>
        <v>SPS1</v>
      </c>
      <c r="C1880" s="9" t="str">
        <f>C1808</f>
        <v>CH</v>
      </c>
      <c r="D1880" s="2" t="s">
        <v>1901</v>
      </c>
      <c r="E1880" s="9" t="str">
        <f t="shared" si="1175"/>
        <v>GWth/yr.</v>
      </c>
      <c r="F1880" s="17">
        <f>SUM(F1881,F1884,F1886,F1890,F1892,F1894,F1896)</f>
        <v>6.1442058773505277</v>
      </c>
      <c r="G1880" s="17">
        <f t="shared" ref="G1880:K1880" si="1275">SUM(G1881,G1884,G1886,G1890,G1892,G1894,G1896)</f>
        <v>6.0171957832071854</v>
      </c>
      <c r="H1880" s="17">
        <f t="shared" si="1275"/>
        <v>5.2277434224007422</v>
      </c>
      <c r="I1880" s="17">
        <f t="shared" si="1275"/>
        <v>6.0152899272883786</v>
      </c>
      <c r="J1880" s="17">
        <f t="shared" si="1275"/>
        <v>5.0137751693505397</v>
      </c>
      <c r="K1880" s="17">
        <f t="shared" si="1275"/>
        <v>4.6602388380093229</v>
      </c>
    </row>
    <row r="1881" spans="2:11" x14ac:dyDescent="0.35">
      <c r="B1881" s="5" t="str">
        <f>B1880</f>
        <v>SPS1</v>
      </c>
      <c r="C1881" s="5" t="str">
        <f>C1880</f>
        <v>CH</v>
      </c>
      <c r="D1881" t="s">
        <v>1902</v>
      </c>
      <c r="E1881" t="str">
        <f t="shared" si="1175"/>
        <v>GWth/yr.</v>
      </c>
      <c r="F1881" s="1">
        <f>SUM(F1882:F1883)</f>
        <v>0.61560623281466831</v>
      </c>
      <c r="G1881" s="1">
        <f t="shared" ref="G1881:K1881" si="1276">SUM(G1882:G1883)</f>
        <v>0.47326610090834964</v>
      </c>
      <c r="H1881" s="1">
        <f t="shared" si="1276"/>
        <v>0.4732635659637765</v>
      </c>
      <c r="I1881" s="1">
        <f t="shared" si="1276"/>
        <v>1.1492893787793712</v>
      </c>
      <c r="J1881" s="1">
        <f t="shared" si="1276"/>
        <v>1.9720792720530971</v>
      </c>
      <c r="K1881" s="1">
        <f t="shared" si="1276"/>
        <v>2.0870091894640144</v>
      </c>
    </row>
    <row r="1882" spans="2:11" x14ac:dyDescent="0.35">
      <c r="B1882" s="5" t="str">
        <f>B1881</f>
        <v>SPS1</v>
      </c>
      <c r="C1882" s="5" t="str">
        <f>C1881</f>
        <v>CH</v>
      </c>
      <c r="D1882" t="s">
        <v>1903</v>
      </c>
      <c r="E1882" t="str">
        <f t="shared" si="1175"/>
        <v>GWth/yr.</v>
      </c>
      <c r="F1882" s="1" cm="1">
        <f t="array" ref="F1882">SUMPRODUCT(([1]OUT_FinalEnergyCons!$B$4:$B$10000="Var_cap")*1, (ISNUMBER(SEARCH("SCOM-SHELCBR",[1]OUT_FinalEnergyCons!$A$4:$A$10000)))*1,[1]OUT_FinalEnergyCons!D$4:D$10000)</f>
        <v>0.18498884971718541</v>
      </c>
      <c r="G1882" s="1" cm="1">
        <f t="array" ref="G1882">SUMPRODUCT(([1]OUT_FinalEnergyCons!$B$4:$B$10000="Var_cap")*1, (ISNUMBER(SEARCH("SCOM-SHELCBR",[1]OUT_FinalEnergyCons!$A$4:$A$10000)))*1,[1]OUT_FinalEnergyCons!E$4:E$10000)</f>
        <v>4.2649709618251957E-2</v>
      </c>
      <c r="H1882" s="1" cm="1">
        <f t="array" ref="H1882">SUMPRODUCT(([1]OUT_FinalEnergyCons!$B$4:$B$10000="Var_cap")*1, (ISNUMBER(SEARCH("SCOM-SHELCBR",[1]OUT_FinalEnergyCons!$A$4:$A$10000)))*1,[1]OUT_FinalEnergyCons!F$4:F$10000)</f>
        <v>4.2647333679646959E-2</v>
      </c>
      <c r="I1882" s="1" cm="1">
        <f t="array" ref="I1882">SUMPRODUCT(([1]OUT_FinalEnergyCons!$B$4:$B$10000="Var_cap")*1, (ISNUMBER(SEARCH("SCOM-SHELCBR",[1]OUT_FinalEnergyCons!$A$4:$A$10000)))*1,[1]OUT_FinalEnergyCons!G$4:G$10000)</f>
        <v>4.0425690163647748E-2</v>
      </c>
      <c r="J1882" s="1" cm="1">
        <f t="array" ref="J1882">SUMPRODUCT(([1]OUT_FinalEnergyCons!$B$4:$B$10000="Var_cap")*1, (ISNUMBER(SEARCH("SCOM-SHELCBR",[1]OUT_FinalEnergyCons!$A$4:$A$10000)))*1,[1]OUT_FinalEnergyCons!H$4:H$10000)</f>
        <v>3.1667499981388798E-2</v>
      </c>
      <c r="K1882" s="1" cm="1">
        <f t="array" ref="K1882">SUMPRODUCT(([1]OUT_FinalEnergyCons!$B$4:$B$10000="Var_cap")*1, (ISNUMBER(SEARCH("SCOM-SHELCBR",[1]OUT_FinalEnergyCons!$A$4:$A$10000)))*1,[1]OUT_FinalEnergyCons!I$4:I$10000)</f>
        <v>1.7910984279001445E-2</v>
      </c>
    </row>
    <row r="1883" spans="2:11" x14ac:dyDescent="0.35">
      <c r="B1883" s="5" t="str">
        <f t="shared" ref="B1883:C1883" si="1277">B1882</f>
        <v>SPS1</v>
      </c>
      <c r="C1883" s="5" t="str">
        <f t="shared" si="1277"/>
        <v>CH</v>
      </c>
      <c r="D1883" t="s">
        <v>1904</v>
      </c>
      <c r="E1883" t="str">
        <f t="shared" si="1175"/>
        <v>GWth/yr.</v>
      </c>
      <c r="F1883" s="1" cm="1">
        <f t="array" ref="F1883">SUMPRODUCT(([1]OUT_FinalEnergyCons!$B$4:$B$10000="Var_cap")*1, (ISNUMBER(SEARCH("SCOM-SHELCHP",[1]OUT_FinalEnergyCons!$A$4:$A$10000)))*1,[1]OUT_FinalEnergyCons!D$4:D$10000)</f>
        <v>0.43061738309748288</v>
      </c>
      <c r="G1883" s="1" cm="1">
        <f t="array" ref="G1883">SUMPRODUCT(([1]OUT_FinalEnergyCons!$B$4:$B$10000="Var_cap")*1, (ISNUMBER(SEARCH("SCOM-SHELCHP",[1]OUT_FinalEnergyCons!$A$4:$A$10000)))*1,[1]OUT_FinalEnergyCons!E$4:E$10000)</f>
        <v>0.43061639129009771</v>
      </c>
      <c r="H1883" s="1" cm="1">
        <f t="array" ref="H1883">SUMPRODUCT(([1]OUT_FinalEnergyCons!$B$4:$B$10000="Var_cap")*1, (ISNUMBER(SEARCH("SCOM-SHELCHP",[1]OUT_FinalEnergyCons!$A$4:$A$10000)))*1,[1]OUT_FinalEnergyCons!F$4:F$10000)</f>
        <v>0.43061623228412954</v>
      </c>
      <c r="I1883" s="1" cm="1">
        <f t="array" ref="I1883">SUMPRODUCT(([1]OUT_FinalEnergyCons!$B$4:$B$10000="Var_cap")*1, (ISNUMBER(SEARCH("SCOM-SHELCHP",[1]OUT_FinalEnergyCons!$A$4:$A$10000)))*1,[1]OUT_FinalEnergyCons!G$4:G$10000)</f>
        <v>1.1088636886157235</v>
      </c>
      <c r="J1883" s="1" cm="1">
        <f t="array" ref="J1883">SUMPRODUCT(([1]OUT_FinalEnergyCons!$B$4:$B$10000="Var_cap")*1, (ISNUMBER(SEARCH("SCOM-SHELCHP",[1]OUT_FinalEnergyCons!$A$4:$A$10000)))*1,[1]OUT_FinalEnergyCons!H$4:H$10000)</f>
        <v>1.9404117720717082</v>
      </c>
      <c r="K1883" s="1" cm="1">
        <f t="array" ref="K1883">SUMPRODUCT(([1]OUT_FinalEnergyCons!$B$4:$B$10000="Var_cap")*1, (ISNUMBER(SEARCH("SCOM-SHELCHP",[1]OUT_FinalEnergyCons!$A$4:$A$10000)))*1,[1]OUT_FinalEnergyCons!I$4:I$10000)</f>
        <v>2.0690982051850129</v>
      </c>
    </row>
    <row r="1884" spans="2:11" x14ac:dyDescent="0.35">
      <c r="B1884" s="5" t="str">
        <f t="shared" ref="B1884:C1884" si="1278">B1883</f>
        <v>SPS1</v>
      </c>
      <c r="C1884" s="5" t="str">
        <f t="shared" si="1278"/>
        <v>CH</v>
      </c>
      <c r="D1884" t="s">
        <v>1905</v>
      </c>
      <c r="E1884" t="str">
        <f t="shared" si="1175"/>
        <v>GWth/yr.</v>
      </c>
      <c r="F1884" s="1">
        <f>F1885</f>
        <v>1.9285740893957157</v>
      </c>
      <c r="G1884" s="1">
        <f t="shared" ref="G1884:K1884" si="1279">G1885</f>
        <v>1.8559088711134148</v>
      </c>
      <c r="H1884" s="1">
        <f t="shared" si="1279"/>
        <v>1.5111527688756574</v>
      </c>
      <c r="I1884" s="1">
        <f t="shared" si="1279"/>
        <v>1.5111026816149842</v>
      </c>
      <c r="J1884" s="1">
        <f t="shared" si="1279"/>
        <v>0.2142664751299535</v>
      </c>
      <c r="K1884" s="1">
        <f t="shared" si="1279"/>
        <v>1.1332672797083804E-2</v>
      </c>
    </row>
    <row r="1885" spans="2:11" x14ac:dyDescent="0.35">
      <c r="B1885" s="5" t="str">
        <f t="shared" ref="B1885:C1885" si="1280">B1884</f>
        <v>SPS1</v>
      </c>
      <c r="C1885" s="5" t="str">
        <f t="shared" si="1280"/>
        <v>CH</v>
      </c>
      <c r="D1885" t="s">
        <v>1906</v>
      </c>
      <c r="E1885" t="str">
        <f t="shared" ref="E1885:E1897" si="1281">E1884</f>
        <v>GWth/yr.</v>
      </c>
      <c r="F1885" s="1" cm="1">
        <f t="array" ref="F1885">SUMPRODUCT(([1]OUT_FinalEnergyCons!$B$4:$B$10000="Var_cap")*1,(ISNUMBER(SEARCH("SCOM-SHLFOBR",[1]OUT_FinalEnergyCons!$A$4:$A$10000)))*1,[1]OUT_FinalEnergyCons!D$4:D$10000)</f>
        <v>1.9285740893957157</v>
      </c>
      <c r="G1885" s="1" cm="1">
        <f t="array" ref="G1885">SUMPRODUCT(([1]OUT_FinalEnergyCons!$B$4:$B$10000="Var_cap")*1,(ISNUMBER(SEARCH("SCOM-SHLFOBR",[1]OUT_FinalEnergyCons!$A$4:$A$10000)))*1,[1]OUT_FinalEnergyCons!E$4:E$10000)</f>
        <v>1.8559088711134148</v>
      </c>
      <c r="H1885" s="1" cm="1">
        <f t="array" ref="H1885">SUMPRODUCT(([1]OUT_FinalEnergyCons!$B$4:$B$10000="Var_cap")*1,(ISNUMBER(SEARCH("SCOM-SHLFOBR",[1]OUT_FinalEnergyCons!$A$4:$A$10000)))*1,[1]OUT_FinalEnergyCons!F$4:F$10000)</f>
        <v>1.5111527688756574</v>
      </c>
      <c r="I1885" s="1" cm="1">
        <f t="array" ref="I1885">SUMPRODUCT(([1]OUT_FinalEnergyCons!$B$4:$B$10000="Var_cap")*1,(ISNUMBER(SEARCH("SCOM-SHLFOBR",[1]OUT_FinalEnergyCons!$A$4:$A$10000)))*1,[1]OUT_FinalEnergyCons!G$4:G$10000)</f>
        <v>1.5111026816149842</v>
      </c>
      <c r="J1885" s="1" cm="1">
        <f t="array" ref="J1885">SUMPRODUCT(([1]OUT_FinalEnergyCons!$B$4:$B$10000="Var_cap")*1,(ISNUMBER(SEARCH("SCOM-SHLFOBR",[1]OUT_FinalEnergyCons!$A$4:$A$10000)))*1,[1]OUT_FinalEnergyCons!H$4:H$10000)</f>
        <v>0.2142664751299535</v>
      </c>
      <c r="K1885" s="1" cm="1">
        <f t="array" ref="K1885">SUMPRODUCT(([1]OUT_FinalEnergyCons!$B$4:$B$10000="Var_cap")*1,(ISNUMBER(SEARCH("SCOM-SHLFOBR",[1]OUT_FinalEnergyCons!$A$4:$A$10000)))*1,[1]OUT_FinalEnergyCons!I$4:I$10000)</f>
        <v>1.1332672797083804E-2</v>
      </c>
    </row>
    <row r="1886" spans="2:11" x14ac:dyDescent="0.35">
      <c r="B1886" s="5" t="str">
        <f t="shared" ref="B1886:C1886" si="1282">B1885</f>
        <v>SPS1</v>
      </c>
      <c r="C1886" s="5" t="str">
        <f t="shared" si="1282"/>
        <v>CH</v>
      </c>
      <c r="D1886" t="s">
        <v>1907</v>
      </c>
      <c r="E1886" t="str">
        <f t="shared" si="1281"/>
        <v>GWth/yr.</v>
      </c>
      <c r="F1886" s="1">
        <f>SUM(F1887:F1889)</f>
        <v>2.8800230483969123</v>
      </c>
      <c r="G1886" s="1">
        <f t="shared" ref="G1886:K1886" si="1283">SUM(G1887:G1889)</f>
        <v>2.8799781642879374</v>
      </c>
      <c r="H1886" s="1">
        <f t="shared" si="1283"/>
        <v>2.4490590786266626</v>
      </c>
      <c r="I1886" s="1">
        <f t="shared" si="1283"/>
        <v>2.547904535391095</v>
      </c>
      <c r="J1886" s="1">
        <f t="shared" si="1283"/>
        <v>0.73625342680531858</v>
      </c>
      <c r="K1886" s="1">
        <f t="shared" si="1283"/>
        <v>0.55224972359757285</v>
      </c>
    </row>
    <row r="1887" spans="2:11" x14ac:dyDescent="0.35">
      <c r="B1887" s="5" t="str">
        <f t="shared" ref="B1887:C1887" si="1284">B1886</f>
        <v>SPS1</v>
      </c>
      <c r="C1887" s="5" t="str">
        <f t="shared" si="1284"/>
        <v>CH</v>
      </c>
      <c r="D1887" t="s">
        <v>1908</v>
      </c>
      <c r="E1887" t="str">
        <f t="shared" si="1281"/>
        <v>GWth/yr.</v>
      </c>
      <c r="F1887" s="1" cm="1">
        <f t="array" ref="F1887">SUMPRODUCT(([1]OUT_FinalEnergyCons!$B$4:$B$10000="Var_cap")*1, (ISNUMBER(SEARCH("SCOM-SHNGABR",[1]OUT_FinalEnergyCons!$A$4:$A$10000)))*1,[1]OUT_FinalEnergyCons!D$4:D$10000)</f>
        <v>2.7746815912156713</v>
      </c>
      <c r="G1887" s="1" cm="1">
        <f t="array" ref="G1887">SUMPRODUCT(([1]OUT_FinalEnergyCons!$B$4:$B$10000="Var_cap")*1, (ISNUMBER(SEARCH("SCOM-SHNGABR",[1]OUT_FinalEnergyCons!$A$4:$A$10000)))*1,[1]OUT_FinalEnergyCons!E$4:E$10000)</f>
        <v>2.7746245988538241</v>
      </c>
      <c r="H1887" s="1" cm="1">
        <f t="array" ref="H1887">SUMPRODUCT(([1]OUT_FinalEnergyCons!$B$4:$B$10000="Var_cap")*1, (ISNUMBER(SEARCH("SCOM-SHNGABR",[1]OUT_FinalEnergyCons!$A$4:$A$10000)))*1,[1]OUT_FinalEnergyCons!F$4:F$10000)</f>
        <v>2.2032733065378656</v>
      </c>
      <c r="I1887" s="1" cm="1">
        <f t="array" ref="I1887">SUMPRODUCT(([1]OUT_FinalEnergyCons!$B$4:$B$10000="Var_cap")*1, (ISNUMBER(SEARCH("SCOM-SHNGABR",[1]OUT_FinalEnergyCons!$A$4:$A$10000)))*1,[1]OUT_FinalEnergyCons!G$4:G$10000)</f>
        <v>2.2032484428160117</v>
      </c>
      <c r="J1887" s="1" cm="1">
        <f t="array" ref="J1887">SUMPRODUCT(([1]OUT_FinalEnergyCons!$B$4:$B$10000="Var_cap")*1, (ISNUMBER(SEARCH("SCOM-SHNGABR",[1]OUT_FinalEnergyCons!$A$4:$A$10000)))*1,[1]OUT_FinalEnergyCons!H$4:H$10000)</f>
        <v>0.33957177872098582</v>
      </c>
      <c r="K1887" s="1" cm="1">
        <f t="array" ref="K1887">SUMPRODUCT(([1]OUT_FinalEnergyCons!$B$4:$B$10000="Var_cap")*1, (ISNUMBER(SEARCH("SCOM-SHNGABR",[1]OUT_FinalEnergyCons!$A$4:$A$10000)))*1,[1]OUT_FinalEnergyCons!I$4:I$10000)</f>
        <v>0.14363596409057564</v>
      </c>
    </row>
    <row r="1888" spans="2:11" x14ac:dyDescent="0.35">
      <c r="B1888" s="5" t="str">
        <f t="shared" ref="B1888:C1888" si="1285">B1887</f>
        <v>SPS1</v>
      </c>
      <c r="C1888" s="5" t="str">
        <f t="shared" si="1285"/>
        <v>CH</v>
      </c>
      <c r="D1888" t="s">
        <v>1909</v>
      </c>
      <c r="E1888" t="str">
        <f t="shared" si="1281"/>
        <v>GWth/yr.</v>
      </c>
      <c r="F1888" s="1" cm="1">
        <f t="array" ref="F1888">SUMPRODUCT(([1]OUT_FinalEnergyCons!$B$4:$B$10000="Var_cap")*1, (ISNUMBER(SEARCH("SCOM-SHngahp",[1]OUT_FinalEnergyCons!$A$4:$A$10000)))*1,[1]OUT_FinalEnergyCons!D$4:D$10000)</f>
        <v>2.22575377862235E-7</v>
      </c>
      <c r="G1888" s="1" cm="1">
        <f t="array" ref="G1888">SUMPRODUCT(([1]OUT_FinalEnergyCons!$B$4:$B$10000="Var_cap")*1, (ISNUMBER(SEARCH("SCOM-SHngahp",[1]OUT_FinalEnergyCons!$A$4:$A$10000)))*1,[1]OUT_FinalEnergyCons!E$4:E$10000)</f>
        <v>1.2678633408600079E-5</v>
      </c>
      <c r="H1888" s="1" cm="1">
        <f t="array" ref="H1888">SUMPRODUCT(([1]OUT_FinalEnergyCons!$B$4:$B$10000="Var_cap")*1, (ISNUMBER(SEARCH("SCOM-SHngahp",[1]OUT_FinalEnergyCons!$A$4:$A$10000)))*1,[1]OUT_FinalEnergyCons!F$4:F$10000)</f>
        <v>0.14046490482692023</v>
      </c>
      <c r="I1888" s="1" cm="1">
        <f t="array" ref="I1888">SUMPRODUCT(([1]OUT_FinalEnergyCons!$B$4:$B$10000="Var_cap")*1, (ISNUMBER(SEARCH("SCOM-SHngahp",[1]OUT_FinalEnergyCons!$A$4:$A$10000)))*1,[1]OUT_FinalEnergyCons!G$4:G$10000)</f>
        <v>0.23933827261696863</v>
      </c>
      <c r="J1888" s="1" cm="1">
        <f t="array" ref="J1888">SUMPRODUCT(([1]OUT_FinalEnergyCons!$B$4:$B$10000="Var_cap")*1, (ISNUMBER(SEARCH("SCOM-SHngahp",[1]OUT_FinalEnergyCons!$A$4:$A$10000)))*1,[1]OUT_FinalEnergyCons!H$4:H$10000)</f>
        <v>0.39664334669633611</v>
      </c>
      <c r="K1888" s="1" cm="1">
        <f t="array" ref="K1888">SUMPRODUCT(([1]OUT_FinalEnergyCons!$B$4:$B$10000="Var_cap")*1, (ISNUMBER(SEARCH("SCOM-SHngahp",[1]OUT_FinalEnergyCons!$A$4:$A$10000)))*1,[1]OUT_FinalEnergyCons!I$4:I$10000)</f>
        <v>0.40858142070521247</v>
      </c>
    </row>
    <row r="1889" spans="2:11" x14ac:dyDescent="0.35">
      <c r="B1889" s="5" t="str">
        <f t="shared" ref="B1889:C1889" si="1286">B1888</f>
        <v>SPS1</v>
      </c>
      <c r="C1889" s="5" t="str">
        <f t="shared" si="1286"/>
        <v>CH</v>
      </c>
      <c r="D1889" t="s">
        <v>1910</v>
      </c>
      <c r="E1889" t="str">
        <f t="shared" si="1281"/>
        <v>GWth/yr.</v>
      </c>
      <c r="F1889" s="1" cm="1">
        <f t="array" ref="F1889">SUMPRODUCT(([1]OUT_FinalEnergyCons!$B$4:$B$10000="Var_cap")*1, (("SCOM-SHBIOBR"=[1]OUT_FinalEnergyCons!$A$4:$A$10000)*1+("SCOM-SHBNGABR"=[1]OUT_FinalEnergyCons!$A$4:$A$10000)*1),[1]OUT_FinalEnergyCons!D$4:D$10000)</f>
        <v>0.10534123460586349</v>
      </c>
      <c r="G1889" s="1" cm="1">
        <f t="array" ref="G1889">SUMPRODUCT(([1]OUT_FinalEnergyCons!$B$4:$B$10000="Var_cap")*1, (("SCOM-SHBIOBR"=[1]OUT_FinalEnergyCons!$A$4:$A$10000)*1+("SCOM-SHBNGABR"=[1]OUT_FinalEnergyCons!$A$4:$A$10000)*1),[1]OUT_FinalEnergyCons!E$4:E$10000)</f>
        <v>0.10534088680070477</v>
      </c>
      <c r="H1889" s="1" cm="1">
        <f t="array" ref="H1889">SUMPRODUCT(([1]OUT_FinalEnergyCons!$B$4:$B$10000="Var_cap")*1, (("SCOM-SHBIOBR"=[1]OUT_FinalEnergyCons!$A$4:$A$10000)*1+("SCOM-SHBNGABR"=[1]OUT_FinalEnergyCons!$A$4:$A$10000)*1),[1]OUT_FinalEnergyCons!F$4:F$10000)</f>
        <v>0.10532086726187689</v>
      </c>
      <c r="I1889" s="1" cm="1">
        <f t="array" ref="I1889">SUMPRODUCT(([1]OUT_FinalEnergyCons!$B$4:$B$10000="Var_cap")*1, (("SCOM-SHBIOBR"=[1]OUT_FinalEnergyCons!$A$4:$A$10000)*1+("SCOM-SHBNGABR"=[1]OUT_FinalEnergyCons!$A$4:$A$10000)*1),[1]OUT_FinalEnergyCons!G$4:G$10000)</f>
        <v>0.10531781995811454</v>
      </c>
      <c r="J1889" s="1" cm="1">
        <f t="array" ref="J1889">SUMPRODUCT(([1]OUT_FinalEnergyCons!$B$4:$B$10000="Var_cap")*1, (("SCOM-SHBIOBR"=[1]OUT_FinalEnergyCons!$A$4:$A$10000)*1+("SCOM-SHBNGABR"=[1]OUT_FinalEnergyCons!$A$4:$A$10000)*1),[1]OUT_FinalEnergyCons!H$4:H$10000)</f>
        <v>3.8301387996631973E-5</v>
      </c>
      <c r="K1889" s="1" cm="1">
        <f t="array" ref="K1889">SUMPRODUCT(([1]OUT_FinalEnergyCons!$B$4:$B$10000="Var_cap")*1, (("SCOM-SHBIOBR"=[1]OUT_FinalEnergyCons!$A$4:$A$10000)*1+("SCOM-SHBNGABR"=[1]OUT_FinalEnergyCons!$A$4:$A$10000)*1),[1]OUT_FinalEnergyCons!I$4:I$10000)</f>
        <v>3.2338801784744345E-5</v>
      </c>
    </row>
    <row r="1890" spans="2:11" x14ac:dyDescent="0.35">
      <c r="B1890" s="5" t="str">
        <f t="shared" ref="B1890:C1890" si="1287">B1889</f>
        <v>SPS1</v>
      </c>
      <c r="C1890" s="5" t="str">
        <f t="shared" si="1287"/>
        <v>CH</v>
      </c>
      <c r="D1890" t="s">
        <v>1911</v>
      </c>
      <c r="E1890" t="str">
        <f t="shared" si="1281"/>
        <v>GWth/yr.</v>
      </c>
      <c r="F1890" s="1">
        <f>F1891</f>
        <v>0.47842423546938134</v>
      </c>
      <c r="G1890" s="1">
        <f t="shared" ref="G1890:K1890" si="1288">G1891</f>
        <v>0.53340553157629012</v>
      </c>
      <c r="H1890" s="1">
        <f t="shared" si="1288"/>
        <v>0.59807349839809143</v>
      </c>
      <c r="I1890" s="1">
        <f t="shared" si="1288"/>
        <v>0.5980681892415638</v>
      </c>
      <c r="J1890" s="1">
        <f t="shared" si="1288"/>
        <v>0.45667500343360473</v>
      </c>
      <c r="K1890" s="1">
        <f t="shared" si="1288"/>
        <v>0.35605227526696831</v>
      </c>
    </row>
    <row r="1891" spans="2:11" x14ac:dyDescent="0.35">
      <c r="B1891" s="5" t="str">
        <f t="shared" ref="B1891:C1891" si="1289">B1890</f>
        <v>SPS1</v>
      </c>
      <c r="C1891" s="5" t="str">
        <f t="shared" si="1289"/>
        <v>CH</v>
      </c>
      <c r="D1891" t="s">
        <v>1912</v>
      </c>
      <c r="E1891" t="str">
        <f t="shared" si="1281"/>
        <v>GWth/yr.</v>
      </c>
      <c r="F1891" s="1" cm="1">
        <f t="array" ref="F1891">SUMPRODUCT(([1]OUT_FinalEnergyCons!$B$4:$B$10000="Var_cap")*1, (ISNUMBER(SEARCH("SCOM-SHWODBR",[1]OUT_FinalEnergyCons!$A$4:$A$10000)))*1,[1]OUT_FinalEnergyCons!D$4:D$10000)</f>
        <v>0.47842423546938134</v>
      </c>
      <c r="G1891" s="1" cm="1">
        <f t="array" ref="G1891">SUMPRODUCT(([1]OUT_FinalEnergyCons!$B$4:$B$10000="Var_cap")*1, (ISNUMBER(SEARCH("SCOM-SHWODBR",[1]OUT_FinalEnergyCons!$A$4:$A$10000)))*1,[1]OUT_FinalEnergyCons!E$4:E$10000)</f>
        <v>0.53340553157629012</v>
      </c>
      <c r="H1891" s="1" cm="1">
        <f t="array" ref="H1891">SUMPRODUCT(([1]OUT_FinalEnergyCons!$B$4:$B$10000="Var_cap")*1, (ISNUMBER(SEARCH("SCOM-SHWODBR",[1]OUT_FinalEnergyCons!$A$4:$A$10000)))*1,[1]OUT_FinalEnergyCons!F$4:F$10000)</f>
        <v>0.59807349839809143</v>
      </c>
      <c r="I1891" s="1" cm="1">
        <f t="array" ref="I1891">SUMPRODUCT(([1]OUT_FinalEnergyCons!$B$4:$B$10000="Var_cap")*1, (ISNUMBER(SEARCH("SCOM-SHWODBR",[1]OUT_FinalEnergyCons!$A$4:$A$10000)))*1,[1]OUT_FinalEnergyCons!G$4:G$10000)</f>
        <v>0.5980681892415638</v>
      </c>
      <c r="J1891" s="1" cm="1">
        <f t="array" ref="J1891">SUMPRODUCT(([1]OUT_FinalEnergyCons!$B$4:$B$10000="Var_cap")*1, (ISNUMBER(SEARCH("SCOM-SHWODBR",[1]OUT_FinalEnergyCons!$A$4:$A$10000)))*1,[1]OUT_FinalEnergyCons!H$4:H$10000)</f>
        <v>0.45667500343360473</v>
      </c>
      <c r="K1891" s="1" cm="1">
        <f t="array" ref="K1891">SUMPRODUCT(([1]OUT_FinalEnergyCons!$B$4:$B$10000="Var_cap")*1, (ISNUMBER(SEARCH("SCOM-SHWODBR",[1]OUT_FinalEnergyCons!$A$4:$A$10000)))*1,[1]OUT_FinalEnergyCons!I$4:I$10000)</f>
        <v>0.35605227526696831</v>
      </c>
    </row>
    <row r="1892" spans="2:11" x14ac:dyDescent="0.35">
      <c r="B1892" s="5" t="str">
        <f t="shared" ref="B1892:C1892" si="1290">B1891</f>
        <v>SPS1</v>
      </c>
      <c r="C1892" s="5" t="str">
        <f t="shared" si="1290"/>
        <v>CH</v>
      </c>
      <c r="D1892" t="s">
        <v>1913</v>
      </c>
      <c r="E1892" t="str">
        <f t="shared" si="1281"/>
        <v>GWth/yr.</v>
      </c>
      <c r="F1892" s="1">
        <f>F1893</f>
        <v>0.1505113837288313</v>
      </c>
      <c r="G1892" s="1">
        <f t="shared" ref="G1892:K1892" si="1291">G1893</f>
        <v>0.17480877200880954</v>
      </c>
      <c r="H1892" s="1">
        <f t="shared" si="1291"/>
        <v>9.6366470902724599E-2</v>
      </c>
      <c r="I1892" s="1">
        <f t="shared" si="1291"/>
        <v>9.6364866573889818E-2</v>
      </c>
      <c r="J1892" s="1">
        <f t="shared" si="1291"/>
        <v>7.8197470175684056E-2</v>
      </c>
      <c r="K1892" s="1">
        <f t="shared" si="1291"/>
        <v>6.7951458550145671E-2</v>
      </c>
    </row>
    <row r="1893" spans="2:11" x14ac:dyDescent="0.35">
      <c r="B1893" s="5" t="str">
        <f t="shared" ref="B1893:C1893" si="1292">B1892</f>
        <v>SPS1</v>
      </c>
      <c r="C1893" s="5" t="str">
        <f t="shared" si="1292"/>
        <v>CH</v>
      </c>
      <c r="D1893" t="s">
        <v>1914</v>
      </c>
      <c r="E1893" t="str">
        <f t="shared" si="1281"/>
        <v>GWth/yr.</v>
      </c>
      <c r="F1893" s="1" cm="1">
        <f t="array" ref="F1893">SUMPRODUCT(([1]OUT_FinalEnergyCons!$B$4:$B$10000="Var_cap")*1,(ISNUMBER(SEARCH("SCOM-SHPLTBR",[1]OUT_FinalEnergyCons!$A$4:$A$10000)))*1,[1]OUT_FinalEnergyCons!D$4:D$10000)</f>
        <v>0.1505113837288313</v>
      </c>
      <c r="G1893" s="1" cm="1">
        <f t="array" ref="G1893">SUMPRODUCT(([1]OUT_FinalEnergyCons!$B$4:$B$10000="Var_cap")*1,(ISNUMBER(SEARCH("SCOM-SHPLTBR",[1]OUT_FinalEnergyCons!$A$4:$A$10000)))*1,[1]OUT_FinalEnergyCons!E$4:E$10000)</f>
        <v>0.17480877200880954</v>
      </c>
      <c r="H1893" s="1" cm="1">
        <f t="array" ref="H1893">SUMPRODUCT(([1]OUT_FinalEnergyCons!$B$4:$B$10000="Var_cap")*1,(ISNUMBER(SEARCH("SCOM-SHPLTBR",[1]OUT_FinalEnergyCons!$A$4:$A$10000)))*1,[1]OUT_FinalEnergyCons!F$4:F$10000)</f>
        <v>9.6366470902724599E-2</v>
      </c>
      <c r="I1893" s="1" cm="1">
        <f t="array" ref="I1893">SUMPRODUCT(([1]OUT_FinalEnergyCons!$B$4:$B$10000="Var_cap")*1,(ISNUMBER(SEARCH("SCOM-SHPLTBR",[1]OUT_FinalEnergyCons!$A$4:$A$10000)))*1,[1]OUT_FinalEnergyCons!G$4:G$10000)</f>
        <v>9.6364866573889818E-2</v>
      </c>
      <c r="J1893" s="1" cm="1">
        <f t="array" ref="J1893">SUMPRODUCT(([1]OUT_FinalEnergyCons!$B$4:$B$10000="Var_cap")*1,(ISNUMBER(SEARCH("SCOM-SHPLTBR",[1]OUT_FinalEnergyCons!$A$4:$A$10000)))*1,[1]OUT_FinalEnergyCons!H$4:H$10000)</f>
        <v>7.8197470175684056E-2</v>
      </c>
      <c r="K1893" s="1" cm="1">
        <f t="array" ref="K1893">SUMPRODUCT(([1]OUT_FinalEnergyCons!$B$4:$B$10000="Var_cap")*1,(ISNUMBER(SEARCH("SCOM-SHPLTBR",[1]OUT_FinalEnergyCons!$A$4:$A$10000)))*1,[1]OUT_FinalEnergyCons!I$4:I$10000)</f>
        <v>6.7951458550145671E-2</v>
      </c>
    </row>
    <row r="1894" spans="2:11" x14ac:dyDescent="0.35">
      <c r="B1894" s="5" t="str">
        <f t="shared" ref="B1894:C1894" si="1293">B1893</f>
        <v>SPS1</v>
      </c>
      <c r="C1894" s="5" t="str">
        <f t="shared" si="1293"/>
        <v>CH</v>
      </c>
      <c r="D1894" t="s">
        <v>1915</v>
      </c>
      <c r="E1894" t="str">
        <f t="shared" si="1281"/>
        <v>GWth/yr.</v>
      </c>
      <c r="F1894" s="1">
        <f>F1895</f>
        <v>9.1066887545018835E-2</v>
      </c>
      <c r="G1894" s="1">
        <f t="shared" ref="G1894:K1894" si="1294">G1895</f>
        <v>9.9828343312384299E-2</v>
      </c>
      <c r="H1894" s="1">
        <f t="shared" si="1294"/>
        <v>9.9828039633829871E-2</v>
      </c>
      <c r="I1894" s="1">
        <f t="shared" si="1294"/>
        <v>0.11255984930992451</v>
      </c>
      <c r="J1894" s="1">
        <f t="shared" si="1294"/>
        <v>0.16738629419308976</v>
      </c>
      <c r="K1894" s="1">
        <f t="shared" si="1294"/>
        <v>0.19678807999351633</v>
      </c>
    </row>
    <row r="1895" spans="2:11" x14ac:dyDescent="0.35">
      <c r="B1895" s="5" t="str">
        <f t="shared" ref="B1895:C1895" si="1295">B1894</f>
        <v>SPS1</v>
      </c>
      <c r="C1895" s="5" t="str">
        <f t="shared" si="1295"/>
        <v>CH</v>
      </c>
      <c r="D1895" t="s">
        <v>1916</v>
      </c>
      <c r="E1895" t="str">
        <f t="shared" si="1281"/>
        <v>GWth/yr.</v>
      </c>
      <c r="F1895" s="1" cm="1">
        <f t="array" ref="F1895">SUMPRODUCT(([1]OUT_FinalEnergyCons!$B$4:$B$10000="Var_cap")*1, (ISNUMBER(SEARCH("SCOM-SHSOLBR",[1]OUT_FinalEnergyCons!$A$4:$A$10000)))*1,[1]OUT_FinalEnergyCons!D$4:D$10000)</f>
        <v>9.1066887545018835E-2</v>
      </c>
      <c r="G1895" s="1" cm="1">
        <f t="array" ref="G1895">SUMPRODUCT(([1]OUT_FinalEnergyCons!$B$4:$B$10000="Var_cap")*1, (ISNUMBER(SEARCH("SCOM-SHSOLBR",[1]OUT_FinalEnergyCons!$A$4:$A$10000)))*1,[1]OUT_FinalEnergyCons!E$4:E$10000)</f>
        <v>9.9828343312384299E-2</v>
      </c>
      <c r="H1895" s="1" cm="1">
        <f t="array" ref="H1895">SUMPRODUCT(([1]OUT_FinalEnergyCons!$B$4:$B$10000="Var_cap")*1, (ISNUMBER(SEARCH("SCOM-SHSOLBR",[1]OUT_FinalEnergyCons!$A$4:$A$10000)))*1,[1]OUT_FinalEnergyCons!F$4:F$10000)</f>
        <v>9.9828039633829871E-2</v>
      </c>
      <c r="I1895" s="1" cm="1">
        <f t="array" ref="I1895">SUMPRODUCT(([1]OUT_FinalEnergyCons!$B$4:$B$10000="Var_cap")*1, (ISNUMBER(SEARCH("SCOM-SHSOLBR",[1]OUT_FinalEnergyCons!$A$4:$A$10000)))*1,[1]OUT_FinalEnergyCons!G$4:G$10000)</f>
        <v>0.11255984930992451</v>
      </c>
      <c r="J1895" s="1" cm="1">
        <f t="array" ref="J1895">SUMPRODUCT(([1]OUT_FinalEnergyCons!$B$4:$B$10000="Var_cap")*1, (ISNUMBER(SEARCH("SCOM-SHSOLBR",[1]OUT_FinalEnergyCons!$A$4:$A$10000)))*1,[1]OUT_FinalEnergyCons!H$4:H$10000)</f>
        <v>0.16738629419308976</v>
      </c>
      <c r="K1895" s="1" cm="1">
        <f t="array" ref="K1895">SUMPRODUCT(([1]OUT_FinalEnergyCons!$B$4:$B$10000="Var_cap")*1, (ISNUMBER(SEARCH("SCOM-SHSOLBR",[1]OUT_FinalEnergyCons!$A$4:$A$10000)))*1,[1]OUT_FinalEnergyCons!I$4:I$10000)</f>
        <v>0.19678807999351633</v>
      </c>
    </row>
    <row r="1896" spans="2:11" x14ac:dyDescent="0.35">
      <c r="B1896" s="5" t="str">
        <f t="shared" ref="B1896:C1896" si="1296">B1895</f>
        <v>SPS1</v>
      </c>
      <c r="C1896" s="5" t="str">
        <f t="shared" si="1296"/>
        <v>CH</v>
      </c>
      <c r="D1896" t="s">
        <v>1917</v>
      </c>
      <c r="E1896" t="str">
        <f t="shared" si="1281"/>
        <v>GWth/yr.</v>
      </c>
      <c r="F1896" s="1">
        <f>F1897</f>
        <v>0</v>
      </c>
      <c r="G1896" s="1">
        <f t="shared" ref="G1896:K1896" si="1297">G1897</f>
        <v>0</v>
      </c>
      <c r="H1896" s="1">
        <f t="shared" si="1297"/>
        <v>0</v>
      </c>
      <c r="I1896" s="1">
        <f t="shared" si="1297"/>
        <v>4.2637754997660902E-7</v>
      </c>
      <c r="J1896" s="1">
        <f t="shared" si="1297"/>
        <v>1.3889172275597912</v>
      </c>
      <c r="K1896" s="1">
        <f t="shared" si="1297"/>
        <v>1.3888554383400216</v>
      </c>
    </row>
    <row r="1897" spans="2:11" x14ac:dyDescent="0.35">
      <c r="B1897" s="5" t="str">
        <f t="shared" ref="B1897:C1897" si="1298">B1896</f>
        <v>SPS1</v>
      </c>
      <c r="C1897" s="5" t="str">
        <f t="shared" si="1298"/>
        <v>CH</v>
      </c>
      <c r="D1897" t="s">
        <v>1918</v>
      </c>
      <c r="E1897" t="str">
        <f t="shared" si="1281"/>
        <v>GWth/yr.</v>
      </c>
      <c r="F1897" s="1" cm="1">
        <f t="array" ref="F1897">SUMPRODUCT(([1]OUT_FinalEnergyCons!$B$4:$B$10000="Var_cap")*1, (ISNUMBER(SEARCH("SCOM-SHH2BR",[1]OUT_FinalEnergyCons!$A$4:$A$10000)))*1,[1]OUT_FinalEnergyCons!D$4:D$10000)</f>
        <v>0</v>
      </c>
      <c r="G1897" s="1" cm="1">
        <f t="array" ref="G1897">SUMPRODUCT(([1]OUT_FinalEnergyCons!$B$4:$B$10000="Var_cap")*1, (ISNUMBER(SEARCH("SCOM-SHH2BR",[1]OUT_FinalEnergyCons!$A$4:$A$10000)))*1,[1]OUT_FinalEnergyCons!E$4:E$10000)</f>
        <v>0</v>
      </c>
      <c r="H1897" s="1" cm="1">
        <f t="array" ref="H1897">SUMPRODUCT(([1]OUT_FinalEnergyCons!$B$4:$B$10000="Var_cap")*1, (ISNUMBER(SEARCH("SCOM-SHH2BR",[1]OUT_FinalEnergyCons!$A$4:$A$10000)))*1,[1]OUT_FinalEnergyCons!F$4:F$10000)</f>
        <v>0</v>
      </c>
      <c r="I1897" s="1" cm="1">
        <f t="array" ref="I1897">SUMPRODUCT(([1]OUT_FinalEnergyCons!$B$4:$B$10000="Var_cap")*1, (ISNUMBER(SEARCH("SCOM-SHH2BR",[1]OUT_FinalEnergyCons!$A$4:$A$10000)))*1,[1]OUT_FinalEnergyCons!G$4:G$10000)</f>
        <v>4.2637754997660902E-7</v>
      </c>
      <c r="J1897" s="1" cm="1">
        <f t="array" ref="J1897">SUMPRODUCT(([1]OUT_FinalEnergyCons!$B$4:$B$10000="Var_cap")*1, (ISNUMBER(SEARCH("SCOM-SHH2BR",[1]OUT_FinalEnergyCons!$A$4:$A$10000)))*1,[1]OUT_FinalEnergyCons!H$4:H$10000)</f>
        <v>1.3889172275597912</v>
      </c>
      <c r="K1897" s="1" cm="1">
        <f t="array" ref="K1897">SUMPRODUCT(([1]OUT_FinalEnergyCons!$B$4:$B$10000="Var_cap")*1, (ISNUMBER(SEARCH("SCOM-SHH2BR",[1]OUT_FinalEnergyCons!$A$4:$A$10000)))*1,[1]OUT_FinalEnergyCons!I$4:I$10000)</f>
        <v>1.3888554383400216</v>
      </c>
    </row>
    <row r="1898" spans="2:11" x14ac:dyDescent="0.35">
      <c r="B1898" s="5" t="str">
        <f>B1897</f>
        <v>SPS1</v>
      </c>
      <c r="C1898" s="5" t="str">
        <f>C1897</f>
        <v>CH</v>
      </c>
      <c r="D1898" s="2" t="s">
        <v>1921</v>
      </c>
      <c r="E1898" s="2" t="s">
        <v>1973</v>
      </c>
      <c r="F1898" s="3">
        <f>SUM(F1899:F1948)</f>
        <v>4.6764570188722479</v>
      </c>
      <c r="G1898" s="3">
        <f t="shared" ref="G1898:K1898" si="1299">SUM(G1899:G1948)</f>
        <v>4.822691048949669</v>
      </c>
      <c r="H1898" s="3">
        <f t="shared" si="1299"/>
        <v>4.9054139284621234</v>
      </c>
      <c r="I1898" s="3">
        <f t="shared" si="1299"/>
        <v>5.2119318123153011</v>
      </c>
      <c r="J1898" s="3">
        <f t="shared" si="1299"/>
        <v>5.5474301961511152</v>
      </c>
      <c r="K1898" s="3">
        <f t="shared" si="1299"/>
        <v>5.7564875724912943</v>
      </c>
    </row>
    <row r="1899" spans="2:11" x14ac:dyDescent="0.35">
      <c r="B1899" s="5" t="str">
        <f t="shared" ref="B1899:B1948" si="1300">B1898</f>
        <v>SPS1</v>
      </c>
      <c r="C1899" s="5" t="str">
        <f t="shared" ref="C1899:C1948" si="1301">C1898</f>
        <v>CH</v>
      </c>
      <c r="D1899" t="s">
        <v>1922</v>
      </c>
      <c r="E1899" t="str">
        <f>E1898</f>
        <v>Million</v>
      </c>
      <c r="F1899" s="1" cm="1">
        <f t="array" ref="F1899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899" s="1" cm="1">
        <f t="array" ref="G1899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899" s="1" cm="1">
        <f t="array" ref="H1899">SUMPRODUCT(("Var_Cap"=[1]OUT_TransportEnergyCons!$B$4:$B$10000)*1,("-"=[1]OUT_TransportEnergyCons!$C$4:$C$10000)*1,ISNUMBER(SEARCH("T_C*bat*ext",[1]OUT_TransportEnergyCons!$A$4:$A$10000))*1,[1]OUT_TransportEnergyCons!F$4:F$10000)</f>
        <v>2.8026528968191827E-2</v>
      </c>
      <c r="I1899" s="1" cm="1">
        <f t="array" ref="I1899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899" s="1" cm="1">
        <f t="array" ref="J1899">SUMPRODUCT(("Var_Cap"=[1]OUT_TransportEnergyCons!$B$4:$B$10000)*1,("-"=[1]OUT_TransportEnergyCons!$C$4:$C$10000)*1,ISNUMBER(SEARCH("T_C*bat*ext",[1]OUT_TransportEnergyCons!$A$4:$A$10000))*1,[1]OUT_TransportEnergyCons!H$4:H$10000)</f>
        <v>0</v>
      </c>
      <c r="K1899" s="1" cm="1">
        <f t="array" ref="K1899">SUMPRODUCT(("Var_Cap"=[1]OUT_TransportEnergyCons!$B$4:$B$10000)*1,("-"=[1]OUT_TransportEnergyCons!$C$4:$C$10000)*1,ISNUMBER(SEARCH("T_C*bat*ext",[1]OUT_TransportEnergyCons!$A$4:$A$10000))*1,[1]OUT_TransportEnergyCons!I$4:I$10000)</f>
        <v>0</v>
      </c>
    </row>
    <row r="1900" spans="2:11" x14ac:dyDescent="0.35">
      <c r="B1900" s="5" t="str">
        <f t="shared" si="1300"/>
        <v>SPS1</v>
      </c>
      <c r="C1900" s="5" t="str">
        <f t="shared" si="1301"/>
        <v>CH</v>
      </c>
      <c r="D1900" t="s">
        <v>1923</v>
      </c>
      <c r="E1900" t="str">
        <f t="shared" ref="E1900:E1948" si="1302">E1899</f>
        <v>Million</v>
      </c>
      <c r="F1900" s="1" cm="1">
        <f t="array" ref="F1900">SUMPRODUCT(("Var_Cap"=[1]OUT_TransportEnergyCons!$B$4:$B$10000)*1,("-"=[1]OUT_TransportEnergyCons!$C$4:$C$10000)*1,ISNUMBER(SEARCH("T_C*bat*s1",[1]OUT_TransportEnergyCons!$A$4:$A$10000))*1,[1]OUT_TransportEnergyCons!D$4:D$10000)</f>
        <v>1.5136353961426813E-3</v>
      </c>
      <c r="G1900" s="1" cm="1">
        <f t="array" ref="G1900">SUMPRODUCT(("Var_Cap"=[1]OUT_TransportEnergyCons!$B$4:$B$10000)*1,("-"=[1]OUT_TransportEnergyCons!$C$4:$C$10000)*1,ISNUMBER(SEARCH("T_C*bat*s1",[1]OUT_TransportEnergyCons!$A$4:$A$10000))*1,[1]OUT_TransportEnergyCons!E$4:E$10000)</f>
        <v>2.695355267648887E-3</v>
      </c>
      <c r="H1900" s="1" cm="1">
        <f t="array" ref="H1900">SUMPRODUCT(("Var_Cap"=[1]OUT_TransportEnergyCons!$B$4:$B$10000)*1,("-"=[1]OUT_TransportEnergyCons!$C$4:$C$10000)*1,ISNUMBER(SEARCH("T_C*bat*s1",[1]OUT_TransportEnergyCons!$A$4:$A$10000))*1,[1]OUT_TransportEnergyCons!F$4:F$10000)</f>
        <v>3.086108622005211E-3</v>
      </c>
      <c r="I1900" s="1" cm="1">
        <f t="array" ref="I1900">SUMPRODUCT(("Var_Cap"=[1]OUT_TransportEnergyCons!$B$4:$B$10000)*1,("-"=[1]OUT_TransportEnergyCons!$C$4:$C$10000)*1,ISNUMBER(SEARCH("T_C*bat*s1",[1]OUT_TransportEnergyCons!$A$4:$A$10000))*1,[1]OUT_TransportEnergyCons!G$4:G$10000)</f>
        <v>0.14497998447738139</v>
      </c>
      <c r="J1900" s="1" cm="1">
        <f t="array" ref="J1900">SUMPRODUCT(("Var_Cap"=[1]OUT_TransportEnergyCons!$B$4:$B$10000)*1,("-"=[1]OUT_TransportEnergyCons!$C$4:$C$10000)*1,ISNUMBER(SEARCH("T_C*bat*s1",[1]OUT_TransportEnergyCons!$A$4:$A$10000))*1,[1]OUT_TransportEnergyCons!H$4:H$10000)</f>
        <v>0.35261067487978237</v>
      </c>
      <c r="K1900" s="1" cm="1">
        <f t="array" ref="K1900">SUMPRODUCT(("Var_Cap"=[1]OUT_TransportEnergyCons!$B$4:$B$10000)*1,("-"=[1]OUT_TransportEnergyCons!$C$4:$C$10000)*1,ISNUMBER(SEARCH("T_C*bat*s1",[1]OUT_TransportEnergyCons!$A$4:$A$10000))*1,[1]OUT_TransportEnergyCons!I$4:I$10000)</f>
        <v>0.3719695593565483</v>
      </c>
    </row>
    <row r="1901" spans="2:11" x14ac:dyDescent="0.35">
      <c r="B1901" s="5" t="str">
        <f t="shared" si="1300"/>
        <v>SPS1</v>
      </c>
      <c r="C1901" s="5" t="str">
        <f t="shared" si="1301"/>
        <v>CH</v>
      </c>
      <c r="D1901" t="s">
        <v>1924</v>
      </c>
      <c r="E1901" t="str">
        <f t="shared" si="1302"/>
        <v>Million</v>
      </c>
      <c r="F1901" s="1" cm="1">
        <f t="array" ref="F1901">SUMPRODUCT(("Var_Cap"=[1]OUT_TransportEnergyCons!$B$4:$B$10000)*1,("-"=[1]OUT_TransportEnergyCons!$C$4:$C$10000)*1,ISNUMBER(SEARCH("T_C*bat*s2",[1]OUT_TransportEnergyCons!$A$4:$A$10000))*1,[1]OUT_TransportEnergyCons!D$4:D$10000)</f>
        <v>7.3552501528310775E-3</v>
      </c>
      <c r="G1901" s="1" cm="1">
        <f t="array" ref="G1901">SUMPRODUCT(("Var_Cap"=[1]OUT_TransportEnergyCons!$B$4:$B$10000)*1,("-"=[1]OUT_TransportEnergyCons!$C$4:$C$10000)*1,ISNUMBER(SEARCH("T_C*bat*s2",[1]OUT_TransportEnergyCons!$A$4:$A$10000))*1,[1]OUT_TransportEnergyCons!E$4:E$10000)</f>
        <v>1.1411140671885084E-2</v>
      </c>
      <c r="H1901" s="1" cm="1">
        <f t="array" ref="H1901">SUMPRODUCT(("Var_Cap"=[1]OUT_TransportEnergyCons!$B$4:$B$10000)*1,("-"=[1]OUT_TransportEnergyCons!$C$4:$C$10000)*1,ISNUMBER(SEARCH("T_C*bat*s2",[1]OUT_TransportEnergyCons!$A$4:$A$10000))*1,[1]OUT_TransportEnergyCons!F$4:F$10000)</f>
        <v>0.10622276456003427</v>
      </c>
      <c r="I1901" s="1" cm="1">
        <f t="array" ref="I1901">SUMPRODUCT(("Var_Cap"=[1]OUT_TransportEnergyCons!$B$4:$B$10000)*1,("-"=[1]OUT_TransportEnergyCons!$C$4:$C$10000)*1,ISNUMBER(SEARCH("T_C*bat*s2",[1]OUT_TransportEnergyCons!$A$4:$A$10000))*1,[1]OUT_TransportEnergyCons!G$4:G$10000)</f>
        <v>0.64250897407160656</v>
      </c>
      <c r="J1901" s="1" cm="1">
        <f t="array" ref="J1901">SUMPRODUCT(("Var_Cap"=[1]OUT_TransportEnergyCons!$B$4:$B$10000)*1,("-"=[1]OUT_TransportEnergyCons!$C$4:$C$10000)*1,ISNUMBER(SEARCH("T_C*bat*s2",[1]OUT_TransportEnergyCons!$A$4:$A$10000))*1,[1]OUT_TransportEnergyCons!H$4:H$10000)</f>
        <v>1.9263256036017589</v>
      </c>
      <c r="K1901" s="1" cm="1">
        <f t="array" ref="K1901">SUMPRODUCT(("Var_Cap"=[1]OUT_TransportEnergyCons!$B$4:$B$10000)*1,("-"=[1]OUT_TransportEnergyCons!$C$4:$C$10000)*1,ISNUMBER(SEARCH("T_C*bat*s2",[1]OUT_TransportEnergyCons!$A$4:$A$10000))*1,[1]OUT_TransportEnergyCons!I$4:I$10000)</f>
        <v>1.9036110992828514</v>
      </c>
    </row>
    <row r="1902" spans="2:11" x14ac:dyDescent="0.35">
      <c r="B1902" s="5" t="str">
        <f t="shared" si="1300"/>
        <v>SPS1</v>
      </c>
      <c r="C1902" s="5" t="str">
        <f t="shared" si="1301"/>
        <v>CH</v>
      </c>
      <c r="D1902" t="s">
        <v>1925</v>
      </c>
      <c r="E1902" t="str">
        <f t="shared" si="1302"/>
        <v>Million</v>
      </c>
      <c r="F1902" s="1" cm="1">
        <f t="array" ref="F1902">SUMPRODUCT(("Var_Cap"=[1]OUT_TransportEnergyCons!$B$4:$B$10000)*1,("-"=[1]OUT_TransportEnergyCons!$C$4:$C$10000)*1,ISNUMBER(SEARCH("T_C*bat*s3",[1]OUT_TransportEnergyCons!$A$4:$A$10000))*1,[1]OUT_TransportEnergyCons!D$4:D$10000)</f>
        <v>4.2726654855223404E-3</v>
      </c>
      <c r="G1902" s="1" cm="1">
        <f t="array" ref="G1902">SUMPRODUCT(("Var_Cap"=[1]OUT_TransportEnergyCons!$B$4:$B$10000)*1,("-"=[1]OUT_TransportEnergyCons!$C$4:$C$10000)*1,ISNUMBER(SEARCH("T_C*bat*s3",[1]OUT_TransportEnergyCons!$A$4:$A$10000))*1,[1]OUT_TransportEnergyCons!E$4:E$10000)</f>
        <v>8.7569372642437634E-3</v>
      </c>
      <c r="H1902" s="1" cm="1">
        <f t="array" ref="H1902">SUMPRODUCT(("Var_Cap"=[1]OUT_TransportEnergyCons!$B$4:$B$10000)*1,("-"=[1]OUT_TransportEnergyCons!$C$4:$C$10000)*1,ISNUMBER(SEARCH("T_C*bat*s3",[1]OUT_TransportEnergyCons!$A$4:$A$10000))*1,[1]OUT_TransportEnergyCons!F$4:F$10000)</f>
        <v>1.015575493944478E-2</v>
      </c>
      <c r="I1902" s="1" cm="1">
        <f t="array" ref="I1902">SUMPRODUCT(("Var_Cap"=[1]OUT_TransportEnergyCons!$B$4:$B$10000)*1,("-"=[1]OUT_TransportEnergyCons!$C$4:$C$10000)*1,ISNUMBER(SEARCH("T_C*bat*s3",[1]OUT_TransportEnergyCons!$A$4:$A$10000))*1,[1]OUT_TransportEnergyCons!G$4:G$10000)</f>
        <v>8.5414144230026197E-3</v>
      </c>
      <c r="J1902" s="1" cm="1">
        <f t="array" ref="J1902">SUMPRODUCT(("Var_Cap"=[1]OUT_TransportEnergyCons!$B$4:$B$10000)*1,("-"=[1]OUT_TransportEnergyCons!$C$4:$C$10000)*1,ISNUMBER(SEARCH("T_C*bat*s3",[1]OUT_TransportEnergyCons!$A$4:$A$10000))*1,[1]OUT_TransportEnergyCons!H$4:H$10000)</f>
        <v>0.46224876881329702</v>
      </c>
      <c r="K1902" s="1" cm="1">
        <f t="array" ref="K1902">SUMPRODUCT(("Var_Cap"=[1]OUT_TransportEnergyCons!$B$4:$B$10000)*1,("-"=[1]OUT_TransportEnergyCons!$C$4:$C$10000)*1,ISNUMBER(SEARCH("T_C*bat*s3",[1]OUT_TransportEnergyCons!$A$4:$A$10000))*1,[1]OUT_TransportEnergyCons!I$4:I$10000)</f>
        <v>0.99786756973826096</v>
      </c>
    </row>
    <row r="1903" spans="2:11" x14ac:dyDescent="0.35">
      <c r="B1903" s="5" t="str">
        <f t="shared" si="1300"/>
        <v>SPS1</v>
      </c>
      <c r="C1903" s="5" t="str">
        <f t="shared" si="1301"/>
        <v>CH</v>
      </c>
      <c r="D1903" t="s">
        <v>1926</v>
      </c>
      <c r="E1903" t="str">
        <f t="shared" si="1302"/>
        <v>Million</v>
      </c>
      <c r="F1903" s="1" cm="1">
        <f t="array" ref="F1903">SUMPRODUCT(("Var_Cap"=[1]OUT_TransportEnergyCons!$B$4:$B$10000)*1,("-"=[1]OUT_TransportEnergyCons!$C$4:$C$10000)*1,ISNUMBER(SEARCH("T_C*bat*s4",[1]OUT_TransportEnergyCons!$A$4:$A$10000))*1,[1]OUT_TransportEnergyCons!D$4:D$10000)</f>
        <v>1.5346154732724477E-2</v>
      </c>
      <c r="G1903" s="1" cm="1">
        <f t="array" ref="G1903">SUMPRODUCT(("Var_Cap"=[1]OUT_TransportEnergyCons!$B$4:$B$10000)*1,("-"=[1]OUT_TransportEnergyCons!$C$4:$C$10000)*1,ISNUMBER(SEARCH("T_C*bat*s4",[1]OUT_TransportEnergyCons!$A$4:$A$10000))*1,[1]OUT_TransportEnergyCons!E$4:E$10000)</f>
        <v>0.1075088118646161</v>
      </c>
      <c r="H1903" s="1" cm="1">
        <f t="array" ref="H1903">SUMPRODUCT(("Var_Cap"=[1]OUT_TransportEnergyCons!$B$4:$B$10000)*1,("-"=[1]OUT_TransportEnergyCons!$C$4:$C$10000)*1,ISNUMBER(SEARCH("T_C*bat*s4",[1]OUT_TransportEnergyCons!$A$4:$A$10000))*1,[1]OUT_TransportEnergyCons!F$4:F$10000)</f>
        <v>0.27365717157054104</v>
      </c>
      <c r="I1903" s="1" cm="1">
        <f t="array" ref="I1903">SUMPRODUCT(("Var_Cap"=[1]OUT_TransportEnergyCons!$B$4:$B$10000)*1,("-"=[1]OUT_TransportEnergyCons!$C$4:$C$10000)*1,ISNUMBER(SEARCH("T_C*bat*s4",[1]OUT_TransportEnergyCons!$A$4:$A$10000))*1,[1]OUT_TransportEnergyCons!G$4:G$10000)</f>
        <v>1.0028984329214219</v>
      </c>
      <c r="J1903" s="1" cm="1">
        <f t="array" ref="J1903">SUMPRODUCT(("Var_Cap"=[1]OUT_TransportEnergyCons!$B$4:$B$10000)*1,("-"=[1]OUT_TransportEnergyCons!$C$4:$C$10000)*1,ISNUMBER(SEARCH("T_C*bat*s4",[1]OUT_TransportEnergyCons!$A$4:$A$10000))*1,[1]OUT_TransportEnergyCons!H$4:H$10000)</f>
        <v>1.9401023881516817</v>
      </c>
      <c r="K1903" s="1" cm="1">
        <f t="array" ref="K1903">SUMPRODUCT(("Var_Cap"=[1]OUT_TransportEnergyCons!$B$4:$B$10000)*1,("-"=[1]OUT_TransportEnergyCons!$C$4:$C$10000)*1,ISNUMBER(SEARCH("T_C*bat*s4",[1]OUT_TransportEnergyCons!$A$4:$A$10000))*1,[1]OUT_TransportEnergyCons!I$4:I$10000)</f>
        <v>2.303152618719384</v>
      </c>
    </row>
    <row r="1904" spans="2:11" x14ac:dyDescent="0.35">
      <c r="B1904" s="5" t="str">
        <f t="shared" si="1300"/>
        <v>SPS1</v>
      </c>
      <c r="C1904" s="5" t="str">
        <f t="shared" si="1301"/>
        <v>CH</v>
      </c>
      <c r="D1904" t="s">
        <v>1927</v>
      </c>
      <c r="E1904" t="str">
        <f t="shared" si="1302"/>
        <v>Million</v>
      </c>
      <c r="F1904" s="1" cm="1">
        <f t="array" ref="F1904">SUMPRODUCT(("Var_Cap"=[1]OUT_TransportEnergyCons!$B$4:$B$10000)*1,("-"=[1]OUT_TransportEnergyCons!$C$4:$C$10000)*1,ISNUMBER(SEARCH("T_C*pev*GSL*s1",[1]OUT_TransportEnergyCons!$A$4:$A$10000))*1,[1]OUT_TransportEnergyCons!D$4:D$10000)</f>
        <v>2.5984335123216108E-5</v>
      </c>
      <c r="G1904" s="1" cm="1">
        <f t="array" ref="G1904">SUMPRODUCT(("Var_Cap"=[1]OUT_TransportEnergyCons!$B$4:$B$10000)*1,("-"=[1]OUT_TransportEnergyCons!$C$4:$C$10000)*1,ISNUMBER(SEARCH("T_C*pev*GSL*s1",[1]OUT_TransportEnergyCons!$A$4:$A$10000))*1,[1]OUT_TransportEnergyCons!E$4:E$10000)</f>
        <v>5.75068646692323E-5</v>
      </c>
      <c r="H1904" s="1" cm="1">
        <f t="array" ref="H1904">SUMPRODUCT(("Var_Cap"=[1]OUT_TransportEnergyCons!$B$4:$B$10000)*1,("-"=[1]OUT_TransportEnergyCons!$C$4:$C$10000)*1,ISNUMBER(SEARCH("T_C*pev*GSL*s1",[1]OUT_TransportEnergyCons!$A$4:$A$10000))*1,[1]OUT_TransportEnergyCons!F$4:F$10000)</f>
        <v>9.0016091810225275E-5</v>
      </c>
      <c r="I1904" s="1" cm="1">
        <f t="array" ref="I1904">SUMPRODUCT(("Var_Cap"=[1]OUT_TransportEnergyCons!$B$4:$B$10000)*1,("-"=[1]OUT_TransportEnergyCons!$C$4:$C$10000)*1,ISNUMBER(SEARCH("T_C*pev*GSL*s1",[1]OUT_TransportEnergyCons!$A$4:$A$10000))*1,[1]OUT_TransportEnergyCons!G$4:G$10000)</f>
        <v>1.101239568248167E-4</v>
      </c>
      <c r="J1904" s="1" cm="1">
        <f t="array" ref="J1904">SUMPRODUCT(("Var_Cap"=[1]OUT_TransportEnergyCons!$B$4:$B$10000)*1,("-"=[1]OUT_TransportEnergyCons!$C$4:$C$10000)*1,ISNUMBER(SEARCH("T_C*pev*GSL*s1",[1]OUT_TransportEnergyCons!$A$4:$A$10000))*1,[1]OUT_TransportEnergyCons!H$4:H$10000)</f>
        <v>6.0153769484946395E-5</v>
      </c>
      <c r="K1904" s="1" cm="1">
        <f t="array" ref="K1904">SUMPRODUCT(("Var_Cap"=[1]OUT_TransportEnergyCons!$B$4:$B$10000)*1,("-"=[1]OUT_TransportEnergyCons!$C$4:$C$10000)*1,ISNUMBER(SEARCH("T_C*pev*GSL*s1",[1]OUT_TransportEnergyCons!$A$4:$A$10000))*1,[1]OUT_TransportEnergyCons!I$4:I$10000)</f>
        <v>1.2390423941906082E-5</v>
      </c>
    </row>
    <row r="1905" spans="2:11" x14ac:dyDescent="0.35">
      <c r="B1905" s="5" t="str">
        <f t="shared" si="1300"/>
        <v>SPS1</v>
      </c>
      <c r="C1905" s="5" t="str">
        <f t="shared" si="1301"/>
        <v>CH</v>
      </c>
      <c r="D1905" t="s">
        <v>1928</v>
      </c>
      <c r="E1905" t="str">
        <f t="shared" si="1302"/>
        <v>Million</v>
      </c>
      <c r="F1905" s="1" cm="1">
        <f t="array" ref="F1905">SUMPRODUCT(("Var_Cap"=[1]OUT_TransportEnergyCons!$B$4:$B$10000)*1,("-"=[1]OUT_TransportEnergyCons!$C$4:$C$10000)*1,ISNUMBER(SEARCH("T_C*pev*GSL*s2",[1]OUT_TransportEnergyCons!$A$4:$A$10000))*1,[1]OUT_TransportEnergyCons!D$4:D$10000)</f>
        <v>4.8855975919278819E-3</v>
      </c>
      <c r="G1905" s="1" cm="1">
        <f t="array" ref="G1905">SUMPRODUCT(("Var_Cap"=[1]OUT_TransportEnergyCons!$B$4:$B$10000)*1,("-"=[1]OUT_TransportEnergyCons!$C$4:$C$10000)*1,ISNUMBER(SEARCH("T_C*pev*GSL*s2",[1]OUT_TransportEnergyCons!$A$4:$A$10000))*1,[1]OUT_TransportEnergyCons!E$4:E$10000)</f>
        <v>7.4851358709597327E-3</v>
      </c>
      <c r="H1905" s="1" cm="1">
        <f t="array" ref="H1905">SUMPRODUCT(("Var_Cap"=[1]OUT_TransportEnergyCons!$B$4:$B$10000)*1,("-"=[1]OUT_TransportEnergyCons!$C$4:$C$10000)*1,ISNUMBER(SEARCH("T_C*pev*GSL*s2",[1]OUT_TransportEnergyCons!$A$4:$A$10000))*1,[1]OUT_TransportEnergyCons!F$4:F$10000)</f>
        <v>7.2648572935419447E-3</v>
      </c>
      <c r="I1905" s="1" cm="1">
        <f t="array" ref="I1905">SUMPRODUCT(("Var_Cap"=[1]OUT_TransportEnergyCons!$B$4:$B$10000)*1,("-"=[1]OUT_TransportEnergyCons!$C$4:$C$10000)*1,ISNUMBER(SEARCH("T_C*pev*GSL*s2",[1]OUT_TransportEnergyCons!$A$4:$A$10000))*1,[1]OUT_TransportEnergyCons!G$4:G$10000)</f>
        <v>6.0317326051604978E-3</v>
      </c>
      <c r="J1905" s="1" cm="1">
        <f t="array" ref="J1905">SUMPRODUCT(("Var_Cap"=[1]OUT_TransportEnergyCons!$B$4:$B$10000)*1,("-"=[1]OUT_TransportEnergyCons!$C$4:$C$10000)*1,ISNUMBER(SEARCH("T_C*pev*GSL*s2",[1]OUT_TransportEnergyCons!$A$4:$A$10000))*1,[1]OUT_TransportEnergyCons!H$4:H$10000)</f>
        <v>1.3550663254156394E-4</v>
      </c>
      <c r="K1905" s="1" cm="1">
        <f t="array" ref="K1905">SUMPRODUCT(("Var_Cap"=[1]OUT_TransportEnergyCons!$B$4:$B$10000)*1,("-"=[1]OUT_TransportEnergyCons!$C$4:$C$10000)*1,ISNUMBER(SEARCH("T_C*pev*GSL*s2",[1]OUT_TransportEnergyCons!$A$4:$A$10000))*1,[1]OUT_TransportEnergyCons!I$4:I$10000)</f>
        <v>2.3470487096589999E-5</v>
      </c>
    </row>
    <row r="1906" spans="2:11" x14ac:dyDescent="0.35">
      <c r="B1906" s="5" t="str">
        <f t="shared" si="1300"/>
        <v>SPS1</v>
      </c>
      <c r="C1906" s="5" t="str">
        <f t="shared" si="1301"/>
        <v>CH</v>
      </c>
      <c r="D1906" t="s">
        <v>1929</v>
      </c>
      <c r="E1906" t="str">
        <f t="shared" si="1302"/>
        <v>Million</v>
      </c>
      <c r="F1906" s="1" cm="1">
        <f t="array" ref="F1906">SUMPRODUCT(("Var_Cap"=[1]OUT_TransportEnergyCons!$B$4:$B$10000)*1,("-"=[1]OUT_TransportEnergyCons!$C$4:$C$10000)*1,ISNUMBER(SEARCH("T_C*pev*GSL*s3",[1]OUT_TransportEnergyCons!$A$4:$A$10000))*1,[1]OUT_TransportEnergyCons!D$4:D$10000)</f>
        <v>4.0683517709739188E-3</v>
      </c>
      <c r="G1906" s="1" cm="1">
        <f t="array" ref="G1906">SUMPRODUCT(("Var_Cap"=[1]OUT_TransportEnergyCons!$B$4:$B$10000)*1,("-"=[1]OUT_TransportEnergyCons!$C$4:$C$10000)*1,ISNUMBER(SEARCH("T_C*pev*GSL*s3",[1]OUT_TransportEnergyCons!$A$4:$A$10000))*1,[1]OUT_TransportEnergyCons!E$4:E$10000)</f>
        <v>4.6514228916282499E-2</v>
      </c>
      <c r="H1906" s="1" cm="1">
        <f t="array" ref="H1906">SUMPRODUCT(("Var_Cap"=[1]OUT_TransportEnergyCons!$B$4:$B$10000)*1,("-"=[1]OUT_TransportEnergyCons!$C$4:$C$10000)*1,ISNUMBER(SEARCH("T_C*pev*GSL*s3",[1]OUT_TransportEnergyCons!$A$4:$A$10000))*1,[1]OUT_TransportEnergyCons!F$4:F$10000)</f>
        <v>8.282318112838781E-2</v>
      </c>
      <c r="I1906" s="1" cm="1">
        <f t="array" ref="I1906">SUMPRODUCT(("Var_Cap"=[1]OUT_TransportEnergyCons!$B$4:$B$10000)*1,("-"=[1]OUT_TransportEnergyCons!$C$4:$C$10000)*1,ISNUMBER(SEARCH("T_C*pev*GSL*s3",[1]OUT_TransportEnergyCons!$A$4:$A$10000))*1,[1]OUT_TransportEnergyCons!G$4:G$10000)</f>
        <v>0.36428081414925756</v>
      </c>
      <c r="J1906" s="1" cm="1">
        <f t="array" ref="J1906">SUMPRODUCT(("Var_Cap"=[1]OUT_TransportEnergyCons!$B$4:$B$10000)*1,("-"=[1]OUT_TransportEnergyCons!$C$4:$C$10000)*1,ISNUMBER(SEARCH("T_C*pev*GSL*s3",[1]OUT_TransportEnergyCons!$A$4:$A$10000))*1,[1]OUT_TransportEnergyCons!H$4:H$10000)</f>
        <v>0.48000098228433469</v>
      </c>
      <c r="K1906" s="1" cm="1">
        <f t="array" ref="K1906">SUMPRODUCT(("Var_Cap"=[1]OUT_TransportEnergyCons!$B$4:$B$10000)*1,("-"=[1]OUT_TransportEnergyCons!$C$4:$C$10000)*1,ISNUMBER(SEARCH("T_C*pev*GSL*s3",[1]OUT_TransportEnergyCons!$A$4:$A$10000))*1,[1]OUT_TransportEnergyCons!I$4:I$10000)</f>
        <v>0.104780462670263</v>
      </c>
    </row>
    <row r="1907" spans="2:11" x14ac:dyDescent="0.35">
      <c r="B1907" s="5" t="str">
        <f t="shared" si="1300"/>
        <v>SPS1</v>
      </c>
      <c r="C1907" s="5" t="str">
        <f t="shared" si="1301"/>
        <v>CH</v>
      </c>
      <c r="D1907" t="s">
        <v>1930</v>
      </c>
      <c r="E1907" t="str">
        <f t="shared" si="1302"/>
        <v>Million</v>
      </c>
      <c r="F1907" s="1" cm="1">
        <f t="array" ref="F1907">SUMPRODUCT(("Var_Cap"=[1]OUT_TransportEnergyCons!$B$4:$B$10000)*1,("-"=[1]OUT_TransportEnergyCons!$C$4:$C$10000)*1,ISNUMBER(SEARCH("T_C*pev*GSL*s4",[1]OUT_TransportEnergyCons!$A$4:$A$10000))*1,[1]OUT_TransportEnergyCons!D$4:D$10000)</f>
        <v>7.2622996557830987E-3</v>
      </c>
      <c r="G1907" s="1" cm="1">
        <f t="array" ref="G1907">SUMPRODUCT(("Var_Cap"=[1]OUT_TransportEnergyCons!$B$4:$B$10000)*1,("-"=[1]OUT_TransportEnergyCons!$C$4:$C$10000)*1,ISNUMBER(SEARCH("T_C*pev*GSL*s4",[1]OUT_TransportEnergyCons!$A$4:$A$10000))*1,[1]OUT_TransportEnergyCons!E$4:E$10000)</f>
        <v>1.2552988075854822E-2</v>
      </c>
      <c r="H1907" s="1" cm="1">
        <f t="array" ref="H1907">SUMPRODUCT(("Var_Cap"=[1]OUT_TransportEnergyCons!$B$4:$B$10000)*1,("-"=[1]OUT_TransportEnergyCons!$C$4:$C$10000)*1,ISNUMBER(SEARCH("T_C*pev*GSL*s4",[1]OUT_TransportEnergyCons!$A$4:$A$10000))*1,[1]OUT_TransportEnergyCons!F$4:F$10000)</f>
        <v>1.2117529488207948E-2</v>
      </c>
      <c r="I1907" s="1" cm="1">
        <f t="array" ref="I1907">SUMPRODUCT(("Var_Cap"=[1]OUT_TransportEnergyCons!$B$4:$B$10000)*1,("-"=[1]OUT_TransportEnergyCons!$C$4:$C$10000)*1,ISNUMBER(SEARCH("T_C*pev*GSL*s4",[1]OUT_TransportEnergyCons!$A$4:$A$10000))*1,[1]OUT_TransportEnergyCons!G$4:G$10000)</f>
        <v>1.0123905637004122E-2</v>
      </c>
      <c r="J1907" s="1" cm="1">
        <f t="array" ref="J1907">SUMPRODUCT(("Var_Cap"=[1]OUT_TransportEnergyCons!$B$4:$B$10000)*1,("-"=[1]OUT_TransportEnergyCons!$C$4:$C$10000)*1,ISNUMBER(SEARCH("T_C*pev*GSL*s4",[1]OUT_TransportEnergyCons!$A$4:$A$10000))*1,[1]OUT_TransportEnergyCons!H$4:H$10000)</f>
        <v>3.0979637751788695E-4</v>
      </c>
      <c r="K1907" s="1" cm="1">
        <f t="array" ref="K1907">SUMPRODUCT(("Var_Cap"=[1]OUT_TransportEnergyCons!$B$4:$B$10000)*1,("-"=[1]OUT_TransportEnergyCons!$C$4:$C$10000)*1,ISNUMBER(SEARCH("T_C*pev*GSL*s4",[1]OUT_TransportEnergyCons!$A$4:$A$10000))*1,[1]OUT_TransportEnergyCons!I$4:I$10000)</f>
        <v>3.7041074623790301E-5</v>
      </c>
    </row>
    <row r="1908" spans="2:11" x14ac:dyDescent="0.35">
      <c r="B1908" s="5" t="str">
        <f t="shared" si="1300"/>
        <v>SPS1</v>
      </c>
      <c r="C1908" s="5" t="str">
        <f t="shared" si="1301"/>
        <v>CH</v>
      </c>
      <c r="D1908" t="s">
        <v>1931</v>
      </c>
      <c r="E1908" t="str">
        <f t="shared" si="1302"/>
        <v>Million</v>
      </c>
      <c r="F1908" s="1" cm="1">
        <f t="array" ref="F1908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08" s="1" cm="1">
        <f t="array" ref="G1908">SUMPRODUCT(("Var_Cap"=[1]OUT_TransportEnergyCons!$B$4:$B$10000)*1,("-"=[1]OUT_TransportEnergyCons!$C$4:$C$10000)*1,ISNUMBER(SEARCH("T_C*pev*dsl*s1",[1]OUT_TransportEnergyCons!$A$4:$A$10000))*1,[1]OUT_TransportEnergyCons!E$4:E$10000)</f>
        <v>3.3810409250662496E-5</v>
      </c>
      <c r="H1908" s="1" cm="1">
        <f t="array" ref="H1908">SUMPRODUCT(("Var_Cap"=[1]OUT_TransportEnergyCons!$B$4:$B$10000)*1,("-"=[1]OUT_TransportEnergyCons!$C$4:$C$10000)*1,ISNUMBER(SEARCH("T_C*pev*dsl*s1",[1]OUT_TransportEnergyCons!$A$4:$A$10000))*1,[1]OUT_TransportEnergyCons!F$4:F$10000)</f>
        <v>6.8248942168896477E-5</v>
      </c>
      <c r="I1908" s="1" cm="1">
        <f t="array" ref="I1908">SUMPRODUCT(("Var_Cap"=[1]OUT_TransportEnergyCons!$B$4:$B$10000)*1,("-"=[1]OUT_TransportEnergyCons!$C$4:$C$10000)*1,ISNUMBER(SEARCH("T_C*pev*dsl*s1",[1]OUT_TransportEnergyCons!$A$4:$A$10000))*1,[1]OUT_TransportEnergyCons!G$4:G$10000)</f>
        <v>9.5828300139301099E-5</v>
      </c>
      <c r="J1908" s="1" cm="1">
        <f t="array" ref="J1908">SUMPRODUCT(("Var_Cap"=[1]OUT_TransportEnergyCons!$B$4:$B$10000)*1,("-"=[1]OUT_TransportEnergyCons!$C$4:$C$10000)*1,ISNUMBER(SEARCH("T_C*pev*dsl*s1",[1]OUT_TransportEnergyCons!$A$4:$A$10000))*1,[1]OUT_TransportEnergyCons!H$4:H$10000)</f>
        <v>6.0961956076643061E-5</v>
      </c>
      <c r="K1908" s="1" cm="1">
        <f t="array" ref="K1908">SUMPRODUCT(("Var_Cap"=[1]OUT_TransportEnergyCons!$B$4:$B$10000)*1,("-"=[1]OUT_TransportEnergyCons!$C$4:$C$10000)*1,ISNUMBER(SEARCH("T_C*pev*dsl*s1",[1]OUT_TransportEnergyCons!$A$4:$A$10000))*1,[1]OUT_TransportEnergyCons!I$4:I$10000)</f>
        <v>1.2447166705555938E-5</v>
      </c>
    </row>
    <row r="1909" spans="2:11" x14ac:dyDescent="0.35">
      <c r="B1909" s="5" t="str">
        <f t="shared" si="1300"/>
        <v>SPS1</v>
      </c>
      <c r="C1909" s="5" t="str">
        <f t="shared" si="1301"/>
        <v>CH</v>
      </c>
      <c r="D1909" t="s">
        <v>1932</v>
      </c>
      <c r="E1909" t="str">
        <f t="shared" si="1302"/>
        <v>Million</v>
      </c>
      <c r="F1909" s="1" cm="1">
        <f t="array" ref="F1909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09" s="1" cm="1">
        <f t="array" ref="G1909">SUMPRODUCT(("Var_Cap"=[1]OUT_TransportEnergyCons!$B$4:$B$10000)*1,("-"=[1]OUT_TransportEnergyCons!$C$4:$C$10000)*1,ISNUMBER(SEARCH("T_C*pev*dsl*s2",[1]OUT_TransportEnergyCons!$A$4:$A$10000))*1,[1]OUT_TransportEnergyCons!E$4:E$10000)</f>
        <v>2.0349212561205363E-5</v>
      </c>
      <c r="H1909" s="1" cm="1">
        <f t="array" ref="H1909">SUMPRODUCT(("Var_Cap"=[1]OUT_TransportEnergyCons!$B$4:$B$10000)*1,("-"=[1]OUT_TransportEnergyCons!$C$4:$C$10000)*1,ISNUMBER(SEARCH("T_C*pev*dsl*s2",[1]OUT_TransportEnergyCons!$A$4:$A$10000))*1,[1]OUT_TransportEnergyCons!F$4:F$10000)</f>
        <v>8.7852187291651425E-5</v>
      </c>
      <c r="I1909" s="1" cm="1">
        <f t="array" ref="I1909">SUMPRODUCT(("Var_Cap"=[1]OUT_TransportEnergyCons!$B$4:$B$10000)*1,("-"=[1]OUT_TransportEnergyCons!$C$4:$C$10000)*1,ISNUMBER(SEARCH("T_C*pev*dsl*s2",[1]OUT_TransportEnergyCons!$A$4:$A$10000))*1,[1]OUT_TransportEnergyCons!G$4:G$10000)</f>
        <v>2.4956648194107429E-4</v>
      </c>
      <c r="J1909" s="1" cm="1">
        <f t="array" ref="J1909">SUMPRODUCT(("Var_Cap"=[1]OUT_TransportEnergyCons!$B$4:$B$10000)*1,("-"=[1]OUT_TransportEnergyCons!$C$4:$C$10000)*1,ISNUMBER(SEARCH("T_C*pev*dsl*s2",[1]OUT_TransportEnergyCons!$A$4:$A$10000))*1,[1]OUT_TransportEnergyCons!H$4:H$10000)</f>
        <v>1.5851766782556929E-4</v>
      </c>
      <c r="K1909" s="1" cm="1">
        <f t="array" ref="K1909">SUMPRODUCT(("Var_Cap"=[1]OUT_TransportEnergyCons!$B$4:$B$10000)*1,("-"=[1]OUT_TransportEnergyCons!$C$4:$C$10000)*1,ISNUMBER(SEARCH("T_C*pev*dsl*s2",[1]OUT_TransportEnergyCons!$A$4:$A$10000))*1,[1]OUT_TransportEnergyCons!I$4:I$10000)</f>
        <v>2.41748094838206E-5</v>
      </c>
    </row>
    <row r="1910" spans="2:11" x14ac:dyDescent="0.35">
      <c r="B1910" s="5" t="str">
        <f t="shared" si="1300"/>
        <v>SPS1</v>
      </c>
      <c r="C1910" s="5" t="str">
        <f t="shared" si="1301"/>
        <v>CH</v>
      </c>
      <c r="D1910" t="s">
        <v>1933</v>
      </c>
      <c r="E1910" t="str">
        <f t="shared" si="1302"/>
        <v>Million</v>
      </c>
      <c r="F1910" s="1" cm="1">
        <f t="array" ref="F1910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0" s="1" cm="1">
        <f t="array" ref="G1910">SUMPRODUCT(("Var_Cap"=[1]OUT_TransportEnergyCons!$B$4:$B$10000)*1,("-"=[1]OUT_TransportEnergyCons!$C$4:$C$10000)*1,ISNUMBER(SEARCH("T_C*pev*dsl*s3",[1]OUT_TransportEnergyCons!$A$4:$A$10000))*1,[1]OUT_TransportEnergyCons!E$4:E$10000)</f>
        <v>1.6625170353690689E-4</v>
      </c>
      <c r="H1910" s="1" cm="1">
        <f t="array" ref="H1910">SUMPRODUCT(("Var_Cap"=[1]OUT_TransportEnergyCons!$B$4:$B$10000)*1,("-"=[1]OUT_TransportEnergyCons!$C$4:$C$10000)*1,ISNUMBER(SEARCH("T_C*pev*dsl*s3",[1]OUT_TransportEnergyCons!$A$4:$A$10000))*1,[1]OUT_TransportEnergyCons!F$4:F$10000)</f>
        <v>6.7785819347114779E-2</v>
      </c>
      <c r="I1910" s="1" cm="1">
        <f t="array" ref="I1910">SUMPRODUCT(("Var_Cap"=[1]OUT_TransportEnergyCons!$B$4:$B$10000)*1,("-"=[1]OUT_TransportEnergyCons!$C$4:$C$10000)*1,ISNUMBER(SEARCH("T_C*pev*dsl*s3",[1]OUT_TransportEnergyCons!$A$4:$A$10000))*1,[1]OUT_TransportEnergyCons!G$4:G$10000)</f>
        <v>0.26256797575319518</v>
      </c>
      <c r="J1910" s="1" cm="1">
        <f t="array" ref="J1910">SUMPRODUCT(("Var_Cap"=[1]OUT_TransportEnergyCons!$B$4:$B$10000)*1,("-"=[1]OUT_TransportEnergyCons!$C$4:$C$10000)*1,ISNUMBER(SEARCH("T_C*pev*dsl*s3",[1]OUT_TransportEnergyCons!$A$4:$A$10000))*1,[1]OUT_TransportEnergyCons!H$4:H$10000)</f>
        <v>0.34349128947564522</v>
      </c>
      <c r="K1910" s="1" cm="1">
        <f t="array" ref="K1910">SUMPRODUCT(("Var_Cap"=[1]OUT_TransportEnergyCons!$B$4:$B$10000)*1,("-"=[1]OUT_TransportEnergyCons!$C$4:$C$10000)*1,ISNUMBER(SEARCH("T_C*pev*dsl*s3",[1]OUT_TransportEnergyCons!$A$4:$A$10000))*1,[1]OUT_TransportEnergyCons!I$4:I$10000)</f>
        <v>7.4952729639360005E-2</v>
      </c>
    </row>
    <row r="1911" spans="2:11" x14ac:dyDescent="0.35">
      <c r="B1911" s="5" t="str">
        <f t="shared" si="1300"/>
        <v>SPS1</v>
      </c>
      <c r="C1911" s="5" t="str">
        <f t="shared" si="1301"/>
        <v>CH</v>
      </c>
      <c r="D1911" t="s">
        <v>1934</v>
      </c>
      <c r="E1911" t="str">
        <f t="shared" si="1302"/>
        <v>Million</v>
      </c>
      <c r="F1911" s="1" cm="1">
        <f t="array" ref="F1911">SUMPRODUCT(("Var_Cap"=[1]OUT_TransportEnergyCons!$B$4:$B$10000)*1,("-"=[1]OUT_TransportEnergyCons!$C$4:$C$10000)*1,ISNUMBER(SEARCH("T_C*pev*dsl*s4",[1]OUT_TransportEnergyCons!$A$4:$A$10000))*1,[1]OUT_TransportEnergyCons!D$4:D$10000)</f>
        <v>2.5889822011776405E-4</v>
      </c>
      <c r="G1911" s="1" cm="1">
        <f t="array" ref="G1911">SUMPRODUCT(("Var_Cap"=[1]OUT_TransportEnergyCons!$B$4:$B$10000)*1,("-"=[1]OUT_TransportEnergyCons!$C$4:$C$10000)*1,ISNUMBER(SEARCH("T_C*pev*dsl*s4",[1]OUT_TransportEnergyCons!$A$4:$A$10000))*1,[1]OUT_TransportEnergyCons!E$4:E$10000)</f>
        <v>7.4994755284737828E-4</v>
      </c>
      <c r="H1911" s="1" cm="1">
        <f t="array" ref="H1911">SUMPRODUCT(("Var_Cap"=[1]OUT_TransportEnergyCons!$B$4:$B$10000)*1,("-"=[1]OUT_TransportEnergyCons!$C$4:$C$10000)*1,ISNUMBER(SEARCH("T_C*pev*dsl*s4",[1]OUT_TransportEnergyCons!$A$4:$A$10000))*1,[1]OUT_TransportEnergyCons!F$4:F$10000)</f>
        <v>8.1502007142211601E-4</v>
      </c>
      <c r="I1911" s="1" cm="1">
        <f t="array" ref="I1911">SUMPRODUCT(("Var_Cap"=[1]OUT_TransportEnergyCons!$B$4:$B$10000)*1,("-"=[1]OUT_TransportEnergyCons!$C$4:$C$10000)*1,ISNUMBER(SEARCH("T_C*pev*dsl*s4",[1]OUT_TransportEnergyCons!$A$4:$A$10000))*1,[1]OUT_TransportEnergyCons!G$4:G$10000)</f>
        <v>1.6255366644502339E-3</v>
      </c>
      <c r="J1911" s="1" cm="1">
        <f t="array" ref="J1911">SUMPRODUCT(("Var_Cap"=[1]OUT_TransportEnergyCons!$B$4:$B$10000)*1,("-"=[1]OUT_TransportEnergyCons!$C$4:$C$10000)*1,ISNUMBER(SEARCH("T_C*pev*dsl*s4",[1]OUT_TransportEnergyCons!$A$4:$A$10000))*1,[1]OUT_TransportEnergyCons!H$4:H$10000)</f>
        <v>5.3367713123736395E-4</v>
      </c>
      <c r="K1911" s="1" cm="1">
        <f t="array" ref="K1911">SUMPRODUCT(("Var_Cap"=[1]OUT_TransportEnergyCons!$B$4:$B$10000)*1,("-"=[1]OUT_TransportEnergyCons!$C$4:$C$10000)*1,ISNUMBER(SEARCH("T_C*pev*dsl*s4",[1]OUT_TransportEnergyCons!$A$4:$A$10000))*1,[1]OUT_TransportEnergyCons!I$4:I$10000)</f>
        <v>3.7524353422141401E-5</v>
      </c>
    </row>
    <row r="1912" spans="2:11" x14ac:dyDescent="0.35">
      <c r="B1912" s="5" t="str">
        <f t="shared" si="1300"/>
        <v>SPS1</v>
      </c>
      <c r="C1912" s="5" t="str">
        <f t="shared" si="1301"/>
        <v>CH</v>
      </c>
      <c r="D1912" t="s">
        <v>1935</v>
      </c>
      <c r="E1912" t="str">
        <f t="shared" si="1302"/>
        <v>Million</v>
      </c>
      <c r="F1912" s="1" cm="1">
        <f t="array" ref="F1912">SUMPRODUCT(("Var_Cap"=[1]OUT_TransportEnergyCons!$B$4:$B$10000)*1,("-"=[1]OUT_TransportEnergyCons!$C$4:$C$10000)*1,ISNUMBER(SEARCH("T_C*h2o*s1",[1]OUT_TransportEnergyCons!$A$4:$A$10000))*1,[1]OUT_TransportEnergyCons!D$4:D$10000)</f>
        <v>0</v>
      </c>
      <c r="G1912" s="1" cm="1">
        <f t="array" ref="G1912">SUMPRODUCT(("Var_Cap"=[1]OUT_TransportEnergyCons!$B$4:$B$10000)*1,("-"=[1]OUT_TransportEnergyCons!$C$4:$C$10000)*1,ISNUMBER(SEARCH("T_C*h2o*s1",[1]OUT_TransportEnergyCons!$A$4:$A$10000))*1,[1]OUT_TransportEnergyCons!E$4:E$10000)</f>
        <v>1.20248865231017E-6</v>
      </c>
      <c r="H1912" s="1" cm="1">
        <f t="array" ref="H1912">SUMPRODUCT(("Var_Cap"=[1]OUT_TransportEnergyCons!$B$4:$B$10000)*1,("-"=[1]OUT_TransportEnergyCons!$C$4:$C$10000)*1,ISNUMBER(SEARCH("T_C*h2o*s1",[1]OUT_TransportEnergyCons!$A$4:$A$10000))*1,[1]OUT_TransportEnergyCons!F$4:F$10000)</f>
        <v>2.08335970208973E-6</v>
      </c>
      <c r="I1912" s="1" cm="1">
        <f t="array" ref="I1912">SUMPRODUCT(("Var_Cap"=[1]OUT_TransportEnergyCons!$B$4:$B$10000)*1,("-"=[1]OUT_TransportEnergyCons!$C$4:$C$10000)*1,ISNUMBER(SEARCH("T_C*h2o*s1",[1]OUT_TransportEnergyCons!$A$4:$A$10000))*1,[1]OUT_TransportEnergyCons!G$4:G$10000)</f>
        <v>1.1268103754539298E-6</v>
      </c>
      <c r="J1912" s="1" cm="1">
        <f t="array" ref="J1912">SUMPRODUCT(("Var_Cap"=[1]OUT_TransportEnergyCons!$B$4:$B$10000)*1,("-"=[1]OUT_TransportEnergyCons!$C$4:$C$10000)*1,ISNUMBER(SEARCH("T_C*h2o*s1",[1]OUT_TransportEnergyCons!$A$4:$A$10000))*1,[1]OUT_TransportEnergyCons!H$4:H$10000)</f>
        <v>1.9536485342871801E-6</v>
      </c>
      <c r="K1912" s="1" cm="1">
        <f t="array" ref="K1912">SUMPRODUCT(("Var_Cap"=[1]OUT_TransportEnergyCons!$B$4:$B$10000)*1,("-"=[1]OUT_TransportEnergyCons!$C$4:$C$10000)*1,ISNUMBER(SEARCH("T_C*h2o*s1",[1]OUT_TransportEnergyCons!$A$4:$A$10000))*1,[1]OUT_TransportEnergyCons!I$4:I$10000)</f>
        <v>1.61071094278205E-6</v>
      </c>
    </row>
    <row r="1913" spans="2:11" x14ac:dyDescent="0.35">
      <c r="B1913" s="5" t="str">
        <f t="shared" si="1300"/>
        <v>SPS1</v>
      </c>
      <c r="C1913" s="5" t="str">
        <f t="shared" si="1301"/>
        <v>CH</v>
      </c>
      <c r="D1913" t="s">
        <v>1936</v>
      </c>
      <c r="E1913" t="str">
        <f t="shared" si="1302"/>
        <v>Million</v>
      </c>
      <c r="F1913" s="1" cm="1">
        <f t="array" ref="F1913">SUMPRODUCT(("Var_Cap"=[1]OUT_TransportEnergyCons!$B$4:$B$10000)*1,("-"=[1]OUT_TransportEnergyCons!$C$4:$C$10000)*1,ISNUMBER(SEARCH("T_C*h2o*s2",[1]OUT_TransportEnergyCons!$A$4:$A$10000))*1,[1]OUT_TransportEnergyCons!D$4:D$10000)</f>
        <v>6.1970910157342798E-6</v>
      </c>
      <c r="G1913" s="1" cm="1">
        <f t="array" ref="G1913">SUMPRODUCT(("Var_Cap"=[1]OUT_TransportEnergyCons!$B$4:$B$10000)*1,("-"=[1]OUT_TransportEnergyCons!$C$4:$C$10000)*1,ISNUMBER(SEARCH("T_C*h2o*s2",[1]OUT_TransportEnergyCons!$A$4:$A$10000))*1,[1]OUT_TransportEnergyCons!E$4:E$10000)</f>
        <v>7.0097365396045482E-6</v>
      </c>
      <c r="H1913" s="1" cm="1">
        <f t="array" ref="H1913">SUMPRODUCT(("Var_Cap"=[1]OUT_TransportEnergyCons!$B$4:$B$10000)*1,("-"=[1]OUT_TransportEnergyCons!$C$4:$C$10000)*1,ISNUMBER(SEARCH("T_C*h2o*s2",[1]OUT_TransportEnergyCons!$A$4:$A$10000))*1,[1]OUT_TransportEnergyCons!F$4:F$10000)</f>
        <v>7.5905133384233304E-6</v>
      </c>
      <c r="I1913" s="1" cm="1">
        <f t="array" ref="I1913">SUMPRODUCT(("Var_Cap"=[1]OUT_TransportEnergyCons!$B$4:$B$10000)*1,("-"=[1]OUT_TransportEnergyCons!$C$4:$C$10000)*1,ISNUMBER(SEARCH("T_C*h2o*s2",[1]OUT_TransportEnergyCons!$A$4:$A$10000))*1,[1]OUT_TransportEnergyCons!G$4:G$10000)</f>
        <v>1.6160765906128602E-6</v>
      </c>
      <c r="J1913" s="1" cm="1">
        <f t="array" ref="J1913">SUMPRODUCT(("Var_Cap"=[1]OUT_TransportEnergyCons!$B$4:$B$10000)*1,("-"=[1]OUT_TransportEnergyCons!$C$4:$C$10000)*1,ISNUMBER(SEARCH("T_C*h2o*s2",[1]OUT_TransportEnergyCons!$A$4:$A$10000))*1,[1]OUT_TransportEnergyCons!H$4:H$10000)</f>
        <v>1.62882465913398E-6</v>
      </c>
      <c r="K1913" s="1" cm="1">
        <f t="array" ref="K1913">SUMPRODUCT(("Var_Cap"=[1]OUT_TransportEnergyCons!$B$4:$B$10000)*1,("-"=[1]OUT_TransportEnergyCons!$C$4:$C$10000)*1,ISNUMBER(SEARCH("T_C*h2o*s2",[1]OUT_TransportEnergyCons!$A$4:$A$10000))*1,[1]OUT_TransportEnergyCons!I$4:I$10000)</f>
        <v>1.5041312573016701E-6</v>
      </c>
    </row>
    <row r="1914" spans="2:11" x14ac:dyDescent="0.35">
      <c r="B1914" s="5" t="str">
        <f t="shared" si="1300"/>
        <v>SPS1</v>
      </c>
      <c r="C1914" s="5" t="str">
        <f t="shared" si="1301"/>
        <v>CH</v>
      </c>
      <c r="D1914" t="s">
        <v>1937</v>
      </c>
      <c r="E1914" t="str">
        <f t="shared" si="1302"/>
        <v>Million</v>
      </c>
      <c r="F1914" s="1" cm="1">
        <f t="array" ref="F1914">SUMPRODUCT(("Var_Cap"=[1]OUT_TransportEnergyCons!$B$4:$B$10000)*1,("-"=[1]OUT_TransportEnergyCons!$C$4:$C$10000)*1,ISNUMBER(SEARCH("T_C*h2o*s3",[1]OUT_TransportEnergyCons!$A$4:$A$10000))*1,[1]OUT_TransportEnergyCons!D$4:D$10000)</f>
        <v>5.337463468442779E-5</v>
      </c>
      <c r="G1914" s="1" cm="1">
        <f t="array" ref="G1914">SUMPRODUCT(("Var_Cap"=[1]OUT_TransportEnergyCons!$B$4:$B$10000)*1,("-"=[1]OUT_TransportEnergyCons!$C$4:$C$10000)*1,ISNUMBER(SEARCH("T_C*h2o*s3",[1]OUT_TransportEnergyCons!$A$4:$A$10000))*1,[1]OUT_TransportEnergyCons!E$4:E$10000)</f>
        <v>1.0861547802986144E-4</v>
      </c>
      <c r="H1914" s="1" cm="1">
        <f t="array" ref="H1914">SUMPRODUCT(("Var_Cap"=[1]OUT_TransportEnergyCons!$B$4:$B$10000)*1,("-"=[1]OUT_TransportEnergyCons!$C$4:$C$10000)*1,ISNUMBER(SEARCH("T_C*h2o*s3",[1]OUT_TransportEnergyCons!$A$4:$A$10000))*1,[1]OUT_TransportEnergyCons!F$4:F$10000)</f>
        <v>1.0383021704365728E-4</v>
      </c>
      <c r="I1914" s="1" cm="1">
        <f t="array" ref="I1914">SUMPRODUCT(("Var_Cap"=[1]OUT_TransportEnergyCons!$B$4:$B$10000)*1,("-"=[1]OUT_TransportEnergyCons!$C$4:$C$10000)*1,ISNUMBER(SEARCH("T_C*h2o*s3",[1]OUT_TransportEnergyCons!$A$4:$A$10000))*1,[1]OUT_TransportEnergyCons!G$4:G$10000)</f>
        <v>2.8397872265969841E-6</v>
      </c>
      <c r="J1914" s="1" cm="1">
        <f t="array" ref="J1914">SUMPRODUCT(("Var_Cap"=[1]OUT_TransportEnergyCons!$B$4:$B$10000)*1,("-"=[1]OUT_TransportEnergyCons!$C$4:$C$10000)*1,ISNUMBER(SEARCH("T_C*h2o*s3",[1]OUT_TransportEnergyCons!$A$4:$A$10000))*1,[1]OUT_TransportEnergyCons!H$4:H$10000)</f>
        <v>1.3417582385676399E-6</v>
      </c>
      <c r="K1914" s="1" cm="1">
        <f t="array" ref="K1914">SUMPRODUCT(("Var_Cap"=[1]OUT_TransportEnergyCons!$B$4:$B$10000)*1,("-"=[1]OUT_TransportEnergyCons!$C$4:$C$10000)*1,ISNUMBER(SEARCH("T_C*h2o*s3",[1]OUT_TransportEnergyCons!$A$4:$A$10000))*1,[1]OUT_TransportEnergyCons!I$4:I$10000)</f>
        <v>1.4268051434534599E-6</v>
      </c>
    </row>
    <row r="1915" spans="2:11" x14ac:dyDescent="0.35">
      <c r="B1915" s="5" t="str">
        <f t="shared" si="1300"/>
        <v>SPS1</v>
      </c>
      <c r="C1915" s="5" t="str">
        <f t="shared" si="1301"/>
        <v>CH</v>
      </c>
      <c r="D1915" t="s">
        <v>1938</v>
      </c>
      <c r="E1915" t="str">
        <f t="shared" si="1302"/>
        <v>Million</v>
      </c>
      <c r="F1915" s="1" cm="1">
        <f t="array" ref="F1915">SUMPRODUCT(("Var_Cap"=[1]OUT_TransportEnergyCons!$B$4:$B$10000)*1,("-"=[1]OUT_TransportEnergyCons!$C$4:$C$10000)*1,ISNUMBER(SEARCH("T_C*h2o*s4",[1]OUT_TransportEnergyCons!$A$4:$A$10000))*1,[1]OUT_TransportEnergyCons!D$4:D$10000)</f>
        <v>0</v>
      </c>
      <c r="G1915" s="1" cm="1">
        <f t="array" ref="G1915">SUMPRODUCT(("Var_Cap"=[1]OUT_TransportEnergyCons!$B$4:$B$10000)*1,("-"=[1]OUT_TransportEnergyCons!$C$4:$C$10000)*1,ISNUMBER(SEARCH("T_C*h2o*s4",[1]OUT_TransportEnergyCons!$A$4:$A$10000))*1,[1]OUT_TransportEnergyCons!E$4:E$10000)</f>
        <v>7.6126658477347897E-7</v>
      </c>
      <c r="H1915" s="1" cm="1">
        <f t="array" ref="H1915">SUMPRODUCT(("Var_Cap"=[1]OUT_TransportEnergyCons!$B$4:$B$10000)*1,("-"=[1]OUT_TransportEnergyCons!$C$4:$C$10000)*1,ISNUMBER(SEARCH("T_C*h2o*s4",[1]OUT_TransportEnergyCons!$A$4:$A$10000))*1,[1]OUT_TransportEnergyCons!F$4:F$10000)</f>
        <v>1.2782669828660899E-6</v>
      </c>
      <c r="I1915" s="1" cm="1">
        <f t="array" ref="I1915">SUMPRODUCT(("Var_Cap"=[1]OUT_TransportEnergyCons!$B$4:$B$10000)*1,("-"=[1]OUT_TransportEnergyCons!$C$4:$C$10000)*1,ISNUMBER(SEARCH("T_C*h2o*s4",[1]OUT_TransportEnergyCons!$A$4:$A$10000))*1,[1]OUT_TransportEnergyCons!G$4:G$10000)</f>
        <v>1.1977841144129719E-6</v>
      </c>
      <c r="J1915" s="1" cm="1">
        <f t="array" ref="J1915">SUMPRODUCT(("Var_Cap"=[1]OUT_TransportEnergyCons!$B$4:$B$10000)*1,("-"=[1]OUT_TransportEnergyCons!$C$4:$C$10000)*1,ISNUMBER(SEARCH("T_C*h2o*s4",[1]OUT_TransportEnergyCons!$A$4:$A$10000))*1,[1]OUT_TransportEnergyCons!H$4:H$10000)</f>
        <v>1.7239152163437999E-6</v>
      </c>
      <c r="K1915" s="1" cm="1">
        <f t="array" ref="K1915">SUMPRODUCT(("Var_Cap"=[1]OUT_TransportEnergyCons!$B$4:$B$10000)*1,("-"=[1]OUT_TransportEnergyCons!$C$4:$C$10000)*1,ISNUMBER(SEARCH("T_C*h2o*s4",[1]OUT_TransportEnergyCons!$A$4:$A$10000))*1,[1]OUT_TransportEnergyCons!I$4:I$10000)</f>
        <v>1.9431220106613198E-6</v>
      </c>
    </row>
    <row r="1916" spans="2:11" x14ac:dyDescent="0.35">
      <c r="B1916" s="5" t="str">
        <f t="shared" si="1300"/>
        <v>SPS1</v>
      </c>
      <c r="C1916" s="5" t="str">
        <f t="shared" si="1301"/>
        <v>CH</v>
      </c>
      <c r="D1916" t="s">
        <v>1939</v>
      </c>
      <c r="E1916" t="str">
        <f t="shared" si="1302"/>
        <v>Million</v>
      </c>
      <c r="F1916" s="1" cm="1">
        <f t="array" ref="F1916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16" s="1" cm="1">
        <f t="array" ref="G1916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16" s="1" cm="1">
        <f t="array" ref="H1916">SUMPRODUCT(("Var_Cap"=[1]OUT_TransportEnergyCons!$B$4:$B$10000)*1,("-"=[1]OUT_TransportEnergyCons!$C$4:$C$10000)*1,ISNUMBER(SEARCH("T_C*hy*GSL*ext",[1]OUT_TransportEnergyCons!$A$4:$A$10000))*1,[1]OUT_TransportEnergyCons!F$4:F$10000)</f>
        <v>4.3894654214787304E-2</v>
      </c>
      <c r="I1916" s="1" cm="1">
        <f t="array" ref="I1916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16" s="1" cm="1">
        <f t="array" ref="J1916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16" s="1" cm="1">
        <f t="array" ref="K1916">SUMPRODUCT(("Var_Cap"=[1]OUT_TransportEnergyCons!$B$4:$B$10000)*1,("-"=[1]OUT_TransportEnergyCons!$C$4:$C$10000)*1,ISNUMBER(SEARCH("T_C*hy*GSL*ext",[1]OUT_TransportEnergyCons!$A$4:$A$10000))*1,[1]OUT_TransportEnergyCons!I$4:I$10000)</f>
        <v>0</v>
      </c>
    </row>
    <row r="1917" spans="2:11" x14ac:dyDescent="0.35">
      <c r="B1917" s="5" t="str">
        <f t="shared" si="1300"/>
        <v>SPS1</v>
      </c>
      <c r="C1917" s="5" t="str">
        <f t="shared" si="1301"/>
        <v>CH</v>
      </c>
      <c r="D1917" t="s">
        <v>1940</v>
      </c>
      <c r="E1917" t="str">
        <f t="shared" si="1302"/>
        <v>Million</v>
      </c>
      <c r="F1917" s="1" cm="1">
        <f t="array" ref="F1917">SUMPRODUCT(("Var_Cap"=[1]OUT_TransportEnergyCons!$B$4:$B$10000)*1,("-"=[1]OUT_TransportEnergyCons!$C$4:$C$10000)*1,ISNUMBER(SEARCH("T_C*hy*GSL*s1",[1]OUT_TransportEnergyCons!$A$4:$A$10000))*1,[1]OUT_TransportEnergyCons!D$4:D$10000)</f>
        <v>5.6688055260060146E-3</v>
      </c>
      <c r="G1917" s="1" cm="1">
        <f t="array" ref="G1917">SUMPRODUCT(("Var_Cap"=[1]OUT_TransportEnergyCons!$B$4:$B$10000)*1,("-"=[1]OUT_TransportEnergyCons!$C$4:$C$10000)*1,ISNUMBER(SEARCH("T_C*hy*GSL*s1",[1]OUT_TransportEnergyCons!$A$4:$A$10000))*1,[1]OUT_TransportEnergyCons!E$4:E$10000)</f>
        <v>6.6947138090468154E-3</v>
      </c>
      <c r="H1917" s="1" cm="1">
        <f t="array" ref="H1917">SUMPRODUCT(("Var_Cap"=[1]OUT_TransportEnergyCons!$B$4:$B$10000)*1,("-"=[1]OUT_TransportEnergyCons!$C$4:$C$10000)*1,ISNUMBER(SEARCH("T_C*hy*GSL*s1",[1]OUT_TransportEnergyCons!$A$4:$A$10000))*1,[1]OUT_TransportEnergyCons!F$4:F$10000)</f>
        <v>6.8457630977609265E-3</v>
      </c>
      <c r="I1917" s="1" cm="1">
        <f t="array" ref="I1917">SUMPRODUCT(("Var_Cap"=[1]OUT_TransportEnergyCons!$B$4:$B$10000)*1,("-"=[1]OUT_TransportEnergyCons!$C$4:$C$10000)*1,ISNUMBER(SEARCH("T_C*hy*GSL*s1",[1]OUT_TransportEnergyCons!$A$4:$A$10000))*1,[1]OUT_TransportEnergyCons!G$4:G$10000)</f>
        <v>5.5292069780530466E-3</v>
      </c>
      <c r="J1917" s="1" cm="1">
        <f t="array" ref="J1917">SUMPRODUCT(("Var_Cap"=[1]OUT_TransportEnergyCons!$B$4:$B$10000)*1,("-"=[1]OUT_TransportEnergyCons!$C$4:$C$10000)*1,ISNUMBER(SEARCH("T_C*hy*GSL*s1",[1]OUT_TransportEnergyCons!$A$4:$A$10000))*1,[1]OUT_TransportEnergyCons!H$4:H$10000)</f>
        <v>4.7387968789651595E-5</v>
      </c>
      <c r="K1917" s="1" cm="1">
        <f t="array" ref="K1917">SUMPRODUCT(("Var_Cap"=[1]OUT_TransportEnergyCons!$B$4:$B$10000)*1,("-"=[1]OUT_TransportEnergyCons!$C$4:$C$10000)*1,ISNUMBER(SEARCH("T_C*hy*GSL*s1",[1]OUT_TransportEnergyCons!$A$4:$A$10000))*1,[1]OUT_TransportEnergyCons!I$4:I$10000)</f>
        <v>0</v>
      </c>
    </row>
    <row r="1918" spans="2:11" x14ac:dyDescent="0.35">
      <c r="B1918" s="5" t="str">
        <f t="shared" si="1300"/>
        <v>SPS1</v>
      </c>
      <c r="C1918" s="5" t="str">
        <f t="shared" si="1301"/>
        <v>CH</v>
      </c>
      <c r="D1918" t="s">
        <v>1941</v>
      </c>
      <c r="E1918" t="str">
        <f t="shared" si="1302"/>
        <v>Million</v>
      </c>
      <c r="F1918" s="1" cm="1">
        <f t="array" ref="F1918">SUMPRODUCT(("Var_Cap"=[1]OUT_TransportEnergyCons!$B$4:$B$10000)*1,("-"=[1]OUT_TransportEnergyCons!$C$4:$C$10000)*1,ISNUMBER(SEARCH("T_C*hy*GSL*s2",[1]OUT_TransportEnergyCons!$A$4:$A$10000))*1,[1]OUT_TransportEnergyCons!D$4:D$10000)</f>
        <v>1.7226648129452304E-2</v>
      </c>
      <c r="G1918" s="1" cm="1">
        <f t="array" ref="G1918">SUMPRODUCT(("Var_Cap"=[1]OUT_TransportEnergyCons!$B$4:$B$10000)*1,("-"=[1]OUT_TransportEnergyCons!$C$4:$C$10000)*1,ISNUMBER(SEARCH("T_C*hy*GSL*s2",[1]OUT_TransportEnergyCons!$A$4:$A$10000))*1,[1]OUT_TransportEnergyCons!E$4:E$10000)</f>
        <v>6.9396291409881433E-2</v>
      </c>
      <c r="H1918" s="1" cm="1">
        <f t="array" ref="H1918">SUMPRODUCT(("Var_Cap"=[1]OUT_TransportEnergyCons!$B$4:$B$10000)*1,("-"=[1]OUT_TransportEnergyCons!$C$4:$C$10000)*1,ISNUMBER(SEARCH("T_C*hy*GSL*s2",[1]OUT_TransportEnergyCons!$A$4:$A$10000))*1,[1]OUT_TransportEnergyCons!F$4:F$10000)</f>
        <v>0.10746855712168236</v>
      </c>
      <c r="I1918" s="1" cm="1">
        <f t="array" ref="I1918">SUMPRODUCT(("Var_Cap"=[1]OUT_TransportEnergyCons!$B$4:$B$10000)*1,("-"=[1]OUT_TransportEnergyCons!$C$4:$C$10000)*1,ISNUMBER(SEARCH("T_C*hy*GSL*s2",[1]OUT_TransportEnergyCons!$A$4:$A$10000))*1,[1]OUT_TransportEnergyCons!G$4:G$10000)</f>
        <v>8.9385494697429749E-2</v>
      </c>
      <c r="J1918" s="1" cm="1">
        <f t="array" ref="J1918">SUMPRODUCT(("Var_Cap"=[1]OUT_TransportEnergyCons!$B$4:$B$10000)*1,("-"=[1]OUT_TransportEnergyCons!$C$4:$C$10000)*1,ISNUMBER(SEARCH("T_C*hy*GSL*s2",[1]OUT_TransportEnergyCons!$A$4:$A$10000))*1,[1]OUT_TransportEnergyCons!H$4:H$10000)</f>
        <v>3.5233613145019414E-3</v>
      </c>
      <c r="K1918" s="1" cm="1">
        <f t="array" ref="K1918">SUMPRODUCT(("Var_Cap"=[1]OUT_TransportEnergyCons!$B$4:$B$10000)*1,("-"=[1]OUT_TransportEnergyCons!$C$4:$C$10000)*1,ISNUMBER(SEARCH("T_C*hy*GSL*s2",[1]OUT_TransportEnergyCons!$A$4:$A$10000))*1,[1]OUT_TransportEnergyCons!I$4:I$10000)</f>
        <v>0</v>
      </c>
    </row>
    <row r="1919" spans="2:11" x14ac:dyDescent="0.35">
      <c r="B1919" s="5" t="str">
        <f t="shared" si="1300"/>
        <v>SPS1</v>
      </c>
      <c r="C1919" s="5" t="str">
        <f t="shared" si="1301"/>
        <v>CH</v>
      </c>
      <c r="D1919" t="s">
        <v>1942</v>
      </c>
      <c r="E1919" t="str">
        <f t="shared" si="1302"/>
        <v>Million</v>
      </c>
      <c r="F1919" s="1" cm="1">
        <f t="array" ref="F1919">SUMPRODUCT(("Var_Cap"=[1]OUT_TransportEnergyCons!$B$4:$B$10000)*1,("-"=[1]OUT_TransportEnergyCons!$C$4:$C$10000)*1,ISNUMBER(SEARCH("T_C*hy*GSL*s3",[1]OUT_TransportEnergyCons!$A$4:$A$10000))*1,[1]OUT_TransportEnergyCons!D$4:D$10000)</f>
        <v>1.42483707318883E-2</v>
      </c>
      <c r="G1919" s="1" cm="1">
        <f t="array" ref="G1919">SUMPRODUCT(("Var_Cap"=[1]OUT_TransportEnergyCons!$B$4:$B$10000)*1,("-"=[1]OUT_TransportEnergyCons!$C$4:$C$10000)*1,ISNUMBER(SEARCH("T_C*hy*GSL*s3",[1]OUT_TransportEnergyCons!$A$4:$A$10000))*1,[1]OUT_TransportEnergyCons!E$4:E$10000)</f>
        <v>0.20817237354581861</v>
      </c>
      <c r="H1919" s="1" cm="1">
        <f t="array" ref="H1919">SUMPRODUCT(("Var_Cap"=[1]OUT_TransportEnergyCons!$B$4:$B$10000)*1,("-"=[1]OUT_TransportEnergyCons!$C$4:$C$10000)*1,ISNUMBER(SEARCH("T_C*hy*GSL*s3",[1]OUT_TransportEnergyCons!$A$4:$A$10000))*1,[1]OUT_TransportEnergyCons!F$4:F$10000)</f>
        <v>0.19669880125909533</v>
      </c>
      <c r="I1919" s="1" cm="1">
        <f t="array" ref="I1919">SUMPRODUCT(("Var_Cap"=[1]OUT_TransportEnergyCons!$B$4:$B$10000)*1,("-"=[1]OUT_TransportEnergyCons!$C$4:$C$10000)*1,ISNUMBER(SEARCH("T_C*hy*GSL*s3",[1]OUT_TransportEnergyCons!$A$4:$A$10000))*1,[1]OUT_TransportEnergyCons!G$4:G$10000)</f>
        <v>0.15836759365082342</v>
      </c>
      <c r="J1919" s="1" cm="1">
        <f t="array" ref="J1919">SUMPRODUCT(("Var_Cap"=[1]OUT_TransportEnergyCons!$B$4:$B$10000)*1,("-"=[1]OUT_TransportEnergyCons!$C$4:$C$10000)*1,ISNUMBER(SEARCH("T_C*hy*GSL*s3",[1]OUT_TransportEnergyCons!$A$4:$A$10000))*1,[1]OUT_TransportEnergyCons!H$4:H$10000)</f>
        <v>1.0660829151514896E-5</v>
      </c>
      <c r="K1919" s="1" cm="1">
        <f t="array" ref="K1919">SUMPRODUCT(("Var_Cap"=[1]OUT_TransportEnergyCons!$B$4:$B$10000)*1,("-"=[1]OUT_TransportEnergyCons!$C$4:$C$10000)*1,ISNUMBER(SEARCH("T_C*hy*GSL*s3",[1]OUT_TransportEnergyCons!$A$4:$A$10000))*1,[1]OUT_TransportEnergyCons!I$4:I$10000)</f>
        <v>0</v>
      </c>
    </row>
    <row r="1920" spans="2:11" x14ac:dyDescent="0.35">
      <c r="B1920" s="5" t="str">
        <f t="shared" si="1300"/>
        <v>SPS1</v>
      </c>
      <c r="C1920" s="5" t="str">
        <f t="shared" si="1301"/>
        <v>CH</v>
      </c>
      <c r="D1920" t="s">
        <v>1943</v>
      </c>
      <c r="E1920" t="str">
        <f t="shared" si="1302"/>
        <v>Million</v>
      </c>
      <c r="F1920" s="1" cm="1">
        <f t="array" ref="F1920">SUMPRODUCT(("Var_Cap"=[1]OUT_TransportEnergyCons!$B$4:$B$10000)*1,("-"=[1]OUT_TransportEnergyCons!$C$4:$C$10000)*1,ISNUMBER(SEARCH("T_C*hy*GSL*s4",[1]OUT_TransportEnergyCons!$A$4:$A$10000))*1,[1]OUT_TransportEnergyCons!D$4:D$10000)</f>
        <v>8.3200599708647734E-3</v>
      </c>
      <c r="G1920" s="1" cm="1">
        <f t="array" ref="G1920">SUMPRODUCT(("Var_Cap"=[1]OUT_TransportEnergyCons!$B$4:$B$10000)*1,("-"=[1]OUT_TransportEnergyCons!$C$4:$C$10000)*1,ISNUMBER(SEARCH("T_C*hy*GSL*s4",[1]OUT_TransportEnergyCons!$A$4:$A$10000))*1,[1]OUT_TransportEnergyCons!E$4:E$10000)</f>
        <v>1.4140015185495899E-2</v>
      </c>
      <c r="H1920" s="1" cm="1">
        <f t="array" ref="H1920">SUMPRODUCT(("Var_Cap"=[1]OUT_TransportEnergyCons!$B$4:$B$10000)*1,("-"=[1]OUT_TransportEnergyCons!$C$4:$C$10000)*1,ISNUMBER(SEARCH("T_C*hy*GSL*s4",[1]OUT_TransportEnergyCons!$A$4:$A$10000))*1,[1]OUT_TransportEnergyCons!F$4:F$10000)</f>
        <v>1.3610711312915623E-2</v>
      </c>
      <c r="I1920" s="1" cm="1">
        <f t="array" ref="I1920">SUMPRODUCT(("Var_Cap"=[1]OUT_TransportEnergyCons!$B$4:$B$10000)*1,("-"=[1]OUT_TransportEnergyCons!$C$4:$C$10000)*1,ISNUMBER(SEARCH("T_C*hy*GSL*s4",[1]OUT_TransportEnergyCons!$A$4:$A$10000))*1,[1]OUT_TransportEnergyCons!G$4:G$10000)</f>
        <v>1.141478420705417E-2</v>
      </c>
      <c r="J1920" s="1" cm="1">
        <f t="array" ref="J1920">SUMPRODUCT(("Var_Cap"=[1]OUT_TransportEnergyCons!$B$4:$B$10000)*1,("-"=[1]OUT_TransportEnergyCons!$C$4:$C$10000)*1,ISNUMBER(SEARCH("T_C*hy*GSL*s4",[1]OUT_TransportEnergyCons!$A$4:$A$10000))*1,[1]OUT_TransportEnergyCons!H$4:H$10000)</f>
        <v>1.697933264403668E-5</v>
      </c>
      <c r="K1920" s="1" cm="1">
        <f t="array" ref="K1920">SUMPRODUCT(("Var_Cap"=[1]OUT_TransportEnergyCons!$B$4:$B$10000)*1,("-"=[1]OUT_TransportEnergyCons!$C$4:$C$10000)*1,ISNUMBER(SEARCH("T_C*hy*GSL*s4",[1]OUT_TransportEnergyCons!$A$4:$A$10000))*1,[1]OUT_TransportEnergyCons!I$4:I$10000)</f>
        <v>0</v>
      </c>
    </row>
    <row r="1921" spans="2:11" x14ac:dyDescent="0.35">
      <c r="B1921" s="5" t="str">
        <f t="shared" si="1300"/>
        <v>SPS1</v>
      </c>
      <c r="C1921" s="5" t="str">
        <f t="shared" si="1301"/>
        <v>CH</v>
      </c>
      <c r="D1921" t="s">
        <v>1944</v>
      </c>
      <c r="E1921" t="str">
        <f t="shared" si="1302"/>
        <v>Million</v>
      </c>
      <c r="F1921" s="1" cm="1">
        <f t="array" ref="F1921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1" s="1" cm="1">
        <f t="array" ref="G1921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1" s="1" cm="1">
        <f t="array" ref="H1921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1" s="1" cm="1">
        <f t="array" ref="I1921">SUMPRODUCT(("Var_Cap"=[1]OUT_TransportEnergyCons!$B$4:$B$10000)*1,("-"=[1]OUT_TransportEnergyCons!$C$4:$C$10000)*1,ISNUMBER(SEARCH("T_C*ICE*GSL*ext",[1]OUT_TransportEnergyCons!$A$4:$A$10000))*1,[1]OUT_TransportEnergyCons!G$4:G$10000)</f>
        <v>0.83144199136773511</v>
      </c>
      <c r="J1921" s="1" cm="1">
        <f t="array" ref="J1921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SUMPRODUCT(("Var_Cap"=[1]OUT_TransportEnergyCons!$B$4:$B$10000)*1,("-"=[1]OUT_TransportEnergyCons!$C$4:$C$10000)*1,ISNUMBER(SEARCH("T_C*ICE*GSL*ext",[1]OUT_TransportEnergyCons!$A$4:$A$10000))*1,[1]OUT_TransportEnergyCons!I$4:I$10000)</f>
        <v>0</v>
      </c>
    </row>
    <row r="1922" spans="2:11" x14ac:dyDescent="0.35">
      <c r="B1922" s="5" t="str">
        <f t="shared" si="1300"/>
        <v>SPS1</v>
      </c>
      <c r="C1922" s="5" t="str">
        <f t="shared" si="1301"/>
        <v>CH</v>
      </c>
      <c r="D1922" t="s">
        <v>1945</v>
      </c>
      <c r="E1922" t="str">
        <f t="shared" si="1302"/>
        <v>Million</v>
      </c>
      <c r="F1922" s="1" cm="1">
        <f t="array" ref="F1922">SUMPRODUCT(("Var_Cap"=[1]OUT_TransportEnergyCons!$B$4:$B$10000)*1,("-"=[1]OUT_TransportEnergyCons!$C$4:$C$10000)*1,ISNUMBER(SEARCH("T_C*ICE*GSL*s1",[1]OUT_TransportEnergyCons!$A$4:$A$10000))*1,[1]OUT_TransportEnergyCons!D$4:D$10000)</f>
        <v>3.6542427971645246E-2</v>
      </c>
      <c r="G1922" s="1" cm="1">
        <f t="array" ref="G1922">SUMPRODUCT(("Var_Cap"=[1]OUT_TransportEnergyCons!$B$4:$B$10000)*1,("-"=[1]OUT_TransportEnergyCons!$C$4:$C$10000)*1,ISNUMBER(SEARCH("T_C*ICE*GSL*s1",[1]OUT_TransportEnergyCons!$A$4:$A$10000))*1,[1]OUT_TransportEnergyCons!E$4:E$10000)</f>
        <v>3.9785745995798642E-2</v>
      </c>
      <c r="H1922" s="1" cm="1">
        <f t="array" ref="H1922">SUMPRODUCT(("Var_Cap"=[1]OUT_TransportEnergyCons!$B$4:$B$10000)*1,("-"=[1]OUT_TransportEnergyCons!$C$4:$C$10000)*1,ISNUMBER(SEARCH("T_C*ICE*GSL*s1",[1]OUT_TransportEnergyCons!$A$4:$A$10000))*1,[1]OUT_TransportEnergyCons!F$4:F$10000)</f>
        <v>0.1268054805488977</v>
      </c>
      <c r="I1922" s="1" cm="1">
        <f t="array" ref="I1922">SUMPRODUCT(("Var_Cap"=[1]OUT_TransportEnergyCons!$B$4:$B$10000)*1,("-"=[1]OUT_TransportEnergyCons!$C$4:$C$10000)*1,ISNUMBER(SEARCH("T_C*ICE*GSL*s1",[1]OUT_TransportEnergyCons!$A$4:$A$10000))*1,[1]OUT_TransportEnergyCons!G$4:G$10000)</f>
        <v>0.10709061580092716</v>
      </c>
      <c r="J1922" s="1" cm="1">
        <f t="array" ref="J1922">SUMPRODUCT(("Var_Cap"=[1]OUT_TransportEnergyCons!$B$4:$B$10000)*1,("-"=[1]OUT_TransportEnergyCons!$C$4:$C$10000)*1,ISNUMBER(SEARCH("T_C*ICE*GSL*s1",[1]OUT_TransportEnergyCons!$A$4:$A$10000))*1,[1]OUT_TransportEnergyCons!H$4:H$10000)</f>
        <v>7.4296094337653901E-3</v>
      </c>
      <c r="K1922" s="1" cm="1">
        <f t="array" ref="K1922">SUMPRODUCT(("Var_Cap"=[1]OUT_TransportEnergyCons!$B$4:$B$10000)*1,("-"=[1]OUT_TransportEnergyCons!$C$4:$C$10000)*1,ISNUMBER(SEARCH("T_C*ICE*GSL*s1",[1]OUT_TransportEnergyCons!$A$4:$A$10000))*1,[1]OUT_TransportEnergyCons!I$4:I$10000)</f>
        <v>0</v>
      </c>
    </row>
    <row r="1923" spans="2:11" x14ac:dyDescent="0.35">
      <c r="B1923" s="5" t="str">
        <f t="shared" si="1300"/>
        <v>SPS1</v>
      </c>
      <c r="C1923" s="5" t="str">
        <f t="shared" si="1301"/>
        <v>CH</v>
      </c>
      <c r="D1923" t="s">
        <v>1946</v>
      </c>
      <c r="E1923" t="str">
        <f t="shared" si="1302"/>
        <v>Million</v>
      </c>
      <c r="F1923" s="1" cm="1">
        <f t="array" ref="F1923">SUMPRODUCT(("Var_Cap"=[1]OUT_TransportEnergyCons!$B$4:$B$10000)*1,("-"=[1]OUT_TransportEnergyCons!$C$4:$C$10000)*1,ISNUMBER(SEARCH("T_C*ICE*GSL*s2",[1]OUT_TransportEnergyCons!$A$4:$A$10000))*1,[1]OUT_TransportEnergyCons!D$4:D$10000)</f>
        <v>0.21743034560826821</v>
      </c>
      <c r="G1923" s="1" cm="1">
        <f t="array" ref="G1923">SUMPRODUCT(("Var_Cap"=[1]OUT_TransportEnergyCons!$B$4:$B$10000)*1,("-"=[1]OUT_TransportEnergyCons!$C$4:$C$10000)*1,ISNUMBER(SEARCH("T_C*ICE*GSL*s2",[1]OUT_TransportEnergyCons!$A$4:$A$10000))*1,[1]OUT_TransportEnergyCons!E$4:E$10000)</f>
        <v>0.24339005858774082</v>
      </c>
      <c r="H1923" s="1" cm="1">
        <f t="array" ref="H1923">SUMPRODUCT(("Var_Cap"=[1]OUT_TransportEnergyCons!$B$4:$B$10000)*1,("-"=[1]OUT_TransportEnergyCons!$C$4:$C$10000)*1,ISNUMBER(SEARCH("T_C*ICE*GSL*s2",[1]OUT_TransportEnergyCons!$A$4:$A$10000))*1,[1]OUT_TransportEnergyCons!F$4:F$10000)</f>
        <v>0.24085845667518427</v>
      </c>
      <c r="I1923" s="1" cm="1">
        <f t="array" ref="I1923">SUMPRODUCT(("Var_Cap"=[1]OUT_TransportEnergyCons!$B$4:$B$10000)*1,("-"=[1]OUT_TransportEnergyCons!$C$4:$C$10000)*1,ISNUMBER(SEARCH("T_C*ICE*GSL*s2",[1]OUT_TransportEnergyCons!$A$4:$A$10000))*1,[1]OUT_TransportEnergyCons!G$4:G$10000)</f>
        <v>0.19037969286655609</v>
      </c>
      <c r="J1923" s="1" cm="1">
        <f t="array" ref="J1923">SUMPRODUCT(("Var_Cap"=[1]OUT_TransportEnergyCons!$B$4:$B$10000)*1,("-"=[1]OUT_TransportEnergyCons!$C$4:$C$10000)*1,ISNUMBER(SEARCH("T_C*ICE*GSL*s2",[1]OUT_TransportEnergyCons!$A$4:$A$10000))*1,[1]OUT_TransportEnergyCons!H$4:H$10000)</f>
        <v>8.3773520286162459E-5</v>
      </c>
      <c r="K1923" s="1" cm="1">
        <f t="array" ref="K1923">SUMPRODUCT(("Var_Cap"=[1]OUT_TransportEnergyCons!$B$4:$B$10000)*1,("-"=[1]OUT_TransportEnergyCons!$C$4:$C$10000)*1,ISNUMBER(SEARCH("T_C*ICE*GSL*s2",[1]OUT_TransportEnergyCons!$A$4:$A$10000))*1,[1]OUT_TransportEnergyCons!I$4:I$10000)</f>
        <v>0</v>
      </c>
    </row>
    <row r="1924" spans="2:11" x14ac:dyDescent="0.35">
      <c r="B1924" s="5" t="str">
        <f t="shared" si="1300"/>
        <v>SPS1</v>
      </c>
      <c r="C1924" s="5" t="str">
        <f t="shared" si="1301"/>
        <v>CH</v>
      </c>
      <c r="D1924" t="s">
        <v>1947</v>
      </c>
      <c r="E1924" t="str">
        <f t="shared" si="1302"/>
        <v>Million</v>
      </c>
      <c r="F1924" s="1" cm="1">
        <f t="array" ref="F1924">SUMPRODUCT(("Var_Cap"=[1]OUT_TransportEnergyCons!$B$4:$B$10000)*1,("-"=[1]OUT_TransportEnergyCons!$C$4:$C$10000)*1,ISNUMBER(SEARCH("T_C*ICE*GSL*s3",[1]OUT_TransportEnergyCons!$A$4:$A$10000))*1,[1]OUT_TransportEnergyCons!D$4:D$10000)</f>
        <v>0.18201202252460949</v>
      </c>
      <c r="G1924" s="1" cm="1">
        <f t="array" ref="G1924">SUMPRODUCT(("Var_Cap"=[1]OUT_TransportEnergyCons!$B$4:$B$10000)*1,("-"=[1]OUT_TransportEnergyCons!$C$4:$C$10000)*1,ISNUMBER(SEARCH("T_C*ICE*GSL*s3",[1]OUT_TransportEnergyCons!$A$4:$A$10000))*1,[1]OUT_TransportEnergyCons!E$4:E$10000)</f>
        <v>0.20369286714729654</v>
      </c>
      <c r="H1924" s="1" cm="1">
        <f t="array" ref="H1924">SUMPRODUCT(("Var_Cap"=[1]OUT_TransportEnergyCons!$B$4:$B$10000)*1,("-"=[1]OUT_TransportEnergyCons!$C$4:$C$10000)*1,ISNUMBER(SEARCH("T_C*ICE*GSL*s3",[1]OUT_TransportEnergyCons!$A$4:$A$10000))*1,[1]OUT_TransportEnergyCons!F$4:F$10000)</f>
        <v>0.23206018748802348</v>
      </c>
      <c r="I1924" s="1" cm="1">
        <f t="array" ref="I1924">SUMPRODUCT(("Var_Cap"=[1]OUT_TransportEnergyCons!$B$4:$B$10000)*1,("-"=[1]OUT_TransportEnergyCons!$C$4:$C$10000)*1,ISNUMBER(SEARCH("T_C*ICE*GSL*s3",[1]OUT_TransportEnergyCons!$A$4:$A$10000))*1,[1]OUT_TransportEnergyCons!G$4:G$10000)</f>
        <v>0.1905665114942455</v>
      </c>
      <c r="J1924" s="1" cm="1">
        <f t="array" ref="J1924">SUMPRODUCT(("Var_Cap"=[1]OUT_TransportEnergyCons!$B$4:$B$10000)*1,("-"=[1]OUT_TransportEnergyCons!$C$4:$C$10000)*1,ISNUMBER(SEARCH("T_C*ICE*GSL*s3",[1]OUT_TransportEnergyCons!$A$4:$A$10000))*1,[1]OUT_TransportEnergyCons!H$4:H$10000)</f>
        <v>2.6749246136184169E-3</v>
      </c>
      <c r="K1924" s="1" cm="1">
        <f t="array" ref="K1924">SUMPRODUCT(("Var_Cap"=[1]OUT_TransportEnergyCons!$B$4:$B$10000)*1,("-"=[1]OUT_TransportEnergyCons!$C$4:$C$10000)*1,ISNUMBER(SEARCH("T_C*ICE*GSL*s3",[1]OUT_TransportEnergyCons!$A$4:$A$10000))*1,[1]OUT_TransportEnergyCons!I$4:I$10000)</f>
        <v>0</v>
      </c>
    </row>
    <row r="1925" spans="2:11" x14ac:dyDescent="0.35">
      <c r="B1925" s="5" t="str">
        <f t="shared" si="1300"/>
        <v>SPS1</v>
      </c>
      <c r="C1925" s="5" t="str">
        <f t="shared" si="1301"/>
        <v>CH</v>
      </c>
      <c r="D1925" t="s">
        <v>1948</v>
      </c>
      <c r="E1925" t="str">
        <f t="shared" si="1302"/>
        <v>Million</v>
      </c>
      <c r="F1925" s="1" cm="1">
        <f t="array" ref="F1925">SUMPRODUCT(("Var_Cap"=[1]OUT_TransportEnergyCons!$B$4:$B$10000)*1,("-"=[1]OUT_TransportEnergyCons!$C$4:$C$10000)*1,ISNUMBER(SEARCH("T_C*ICE*GSL*s4",[1]OUT_TransportEnergyCons!$A$4:$A$10000))*1,[1]OUT_TransportEnergyCons!D$4:D$10000)</f>
        <v>0.15707527819818801</v>
      </c>
      <c r="G1925" s="1" cm="1">
        <f t="array" ref="G1925">SUMPRODUCT(("Var_Cap"=[1]OUT_TransportEnergyCons!$B$4:$B$10000)*1,("-"=[1]OUT_TransportEnergyCons!$C$4:$C$10000)*1,ISNUMBER(SEARCH("T_C*ICE*GSL*s4",[1]OUT_TransportEnergyCons!$A$4:$A$10000))*1,[1]OUT_TransportEnergyCons!E$4:E$10000)</f>
        <v>0.17928869998831182</v>
      </c>
      <c r="H1925" s="1" cm="1">
        <f t="array" ref="H1925">SUMPRODUCT(("Var_Cap"=[1]OUT_TransportEnergyCons!$B$4:$B$10000)*1,("-"=[1]OUT_TransportEnergyCons!$C$4:$C$10000)*1,ISNUMBER(SEARCH("T_C*ICE*GSL*s4",[1]OUT_TransportEnergyCons!$A$4:$A$10000))*1,[1]OUT_TransportEnergyCons!F$4:F$10000)</f>
        <v>0.377307652545321</v>
      </c>
      <c r="I1925" s="1" cm="1">
        <f t="array" ref="I1925">SUMPRODUCT(("Var_Cap"=[1]OUT_TransportEnergyCons!$B$4:$B$10000)*1,("-"=[1]OUT_TransportEnergyCons!$C$4:$C$10000)*1,ISNUMBER(SEARCH("T_C*ICE*GSL*s4",[1]OUT_TransportEnergyCons!$A$4:$A$10000))*1,[1]OUT_TransportEnergyCons!G$4:G$10000)</f>
        <v>0.318475591369906</v>
      </c>
      <c r="J1925" s="1" cm="1">
        <f t="array" ref="J1925">SUMPRODUCT(("Var_Cap"=[1]OUT_TransportEnergyCons!$B$4:$B$10000)*1,("-"=[1]OUT_TransportEnergyCons!$C$4:$C$10000)*1,ISNUMBER(SEARCH("T_C*ICE*GSL*s4",[1]OUT_TransportEnergyCons!$A$4:$A$10000))*1,[1]OUT_TransportEnergyCons!H$4:H$10000)</f>
        <v>1.7034252197524885E-2</v>
      </c>
      <c r="K1925" s="1" cm="1">
        <f t="array" ref="K1925">SUMPRODUCT(("Var_Cap"=[1]OUT_TransportEnergyCons!$B$4:$B$10000)*1,("-"=[1]OUT_TransportEnergyCons!$C$4:$C$10000)*1,ISNUMBER(SEARCH("T_C*ICE*GSL*s4",[1]OUT_TransportEnergyCons!$A$4:$A$10000))*1,[1]OUT_TransportEnergyCons!I$4:I$10000)</f>
        <v>0</v>
      </c>
    </row>
    <row r="1926" spans="2:11" x14ac:dyDescent="0.35">
      <c r="B1926" s="5" t="str">
        <f t="shared" si="1300"/>
        <v>SPS1</v>
      </c>
      <c r="C1926" s="5" t="str">
        <f t="shared" si="1301"/>
        <v>CH</v>
      </c>
      <c r="D1926" t="s">
        <v>1949</v>
      </c>
      <c r="E1926" t="str">
        <f t="shared" si="1302"/>
        <v>Million</v>
      </c>
      <c r="F1926" s="1" cm="1">
        <f t="array" ref="F1926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26" s="1" cm="1">
        <f t="array" ref="G1926">SUMPRODUCT(("Var_Cap"=[1]OUT_TransportEnergyCons!$B$4:$B$10000)*1,("-"=[1]OUT_TransportEnergyCons!$C$4:$C$10000)*1,ISNUMBER(SEARCH("T_C*mhy*GSL*s1",[1]OUT_TransportEnergyCons!$A$4:$A$10000))*1,[1]OUT_TransportEnergyCons!E$4:E$10000)</f>
        <v>1.3214287934595199E-5</v>
      </c>
      <c r="H1926" s="1" cm="1">
        <f t="array" ref="H1926">SUMPRODUCT(("Var_Cap"=[1]OUT_TransportEnergyCons!$B$4:$B$10000)*1,("-"=[1]OUT_TransportEnergyCons!$C$4:$C$10000)*1,ISNUMBER(SEARCH("T_C*mhy*GSL*s1",[1]OUT_TransportEnergyCons!$A$4:$A$10000))*1,[1]OUT_TransportEnergyCons!F$4:F$10000)</f>
        <v>6.7440747782467896E-5</v>
      </c>
      <c r="I1926" s="1" cm="1">
        <f t="array" ref="I1926">SUMPRODUCT(("Var_Cap"=[1]OUT_TransportEnergyCons!$B$4:$B$10000)*1,("-"=[1]OUT_TransportEnergyCons!$C$4:$C$10000)*1,ISNUMBER(SEARCH("T_C*mhy*GSL*s1",[1]OUT_TransportEnergyCons!$A$4:$A$10000))*1,[1]OUT_TransportEnergyCons!G$4:G$10000)</f>
        <v>8.4139832684294497E-5</v>
      </c>
      <c r="J1926" s="1" cm="1">
        <f t="array" ref="J1926">SUMPRODUCT(("Var_Cap"=[1]OUT_TransportEnergyCons!$B$4:$B$10000)*1,("-"=[1]OUT_TransportEnergyCons!$C$4:$C$10000)*1,ISNUMBER(SEARCH("T_C*mhy*GSL*s1",[1]OUT_TransportEnergyCons!$A$4:$A$10000))*1,[1]OUT_TransportEnergyCons!H$4:H$10000)</f>
        <v>1.50753982884004E-5</v>
      </c>
      <c r="K1926" s="1" cm="1">
        <f t="array" ref="K1926">SUMPRODUCT(("Var_Cap"=[1]OUT_TransportEnergyCons!$B$4:$B$10000)*1,("-"=[1]OUT_TransportEnergyCons!$C$4:$C$10000)*1,ISNUMBER(SEARCH("T_C*mhy*GSL*s1",[1]OUT_TransportEnergyCons!$A$4:$A$10000))*1,[1]OUT_TransportEnergyCons!I$4:I$10000)</f>
        <v>0</v>
      </c>
    </row>
    <row r="1927" spans="2:11" x14ac:dyDescent="0.35">
      <c r="B1927" s="5" t="str">
        <f t="shared" si="1300"/>
        <v>SPS1</v>
      </c>
      <c r="C1927" s="5" t="str">
        <f t="shared" si="1301"/>
        <v>CH</v>
      </c>
      <c r="D1927" t="s">
        <v>1950</v>
      </c>
      <c r="E1927" t="str">
        <f t="shared" si="1302"/>
        <v>Million</v>
      </c>
      <c r="F1927" s="1" cm="1">
        <f t="array" ref="F1927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27" s="1" cm="1">
        <f t="array" ref="G1927">SUMPRODUCT(("Var_Cap"=[1]OUT_TransportEnergyCons!$B$4:$B$10000)*1,("-"=[1]OUT_TransportEnergyCons!$C$4:$C$10000)*1,ISNUMBER(SEARCH("T_C*mhy*GSL*s2",[1]OUT_TransportEnergyCons!$A$4:$A$10000))*1,[1]OUT_TransportEnergyCons!E$4:E$10000)</f>
        <v>5.91470137163476E-6</v>
      </c>
      <c r="H1927" s="1" cm="1">
        <f t="array" ref="H1927">SUMPRODUCT(("Var_Cap"=[1]OUT_TransportEnergyCons!$B$4:$B$10000)*1,("-"=[1]OUT_TransportEnergyCons!$C$4:$C$10000)*1,ISNUMBER(SEARCH("T_C*mhy*GSL*s2",[1]OUT_TransportEnergyCons!$A$4:$A$10000))*1,[1]OUT_TransportEnergyCons!F$4:F$10000)</f>
        <v>3.1582589629757498E-5</v>
      </c>
      <c r="I1927" s="1" cm="1">
        <f t="array" ref="I1927">SUMPRODUCT(("Var_Cap"=[1]OUT_TransportEnergyCons!$B$4:$B$10000)*1,("-"=[1]OUT_TransportEnergyCons!$C$4:$C$10000)*1,ISNUMBER(SEARCH("T_C*mhy*GSL*s2",[1]OUT_TransportEnergyCons!$A$4:$A$10000))*1,[1]OUT_TransportEnergyCons!G$4:G$10000)</f>
        <v>4.3685240898249502E-5</v>
      </c>
      <c r="J1927" s="1" cm="1">
        <f t="array" ref="J1927">SUMPRODUCT(("Var_Cap"=[1]OUT_TransportEnergyCons!$B$4:$B$10000)*1,("-"=[1]OUT_TransportEnergyCons!$C$4:$C$10000)*1,ISNUMBER(SEARCH("T_C*mhy*GSL*s2",[1]OUT_TransportEnergyCons!$A$4:$A$10000))*1,[1]OUT_TransportEnergyCons!H$4:H$10000)</f>
        <v>8.8038618754099593E-6</v>
      </c>
      <c r="K1927" s="1" cm="1">
        <f t="array" ref="K1927">SUMPRODUCT(("Var_Cap"=[1]OUT_TransportEnergyCons!$B$4:$B$10000)*1,("-"=[1]OUT_TransportEnergyCons!$C$4:$C$10000)*1,ISNUMBER(SEARCH("T_C*mhy*GSL*s2",[1]OUT_TransportEnergyCons!$A$4:$A$10000))*1,[1]OUT_TransportEnergyCons!I$4:I$10000)</f>
        <v>0</v>
      </c>
    </row>
    <row r="1928" spans="2:11" x14ac:dyDescent="0.35">
      <c r="B1928" s="5" t="str">
        <f t="shared" si="1300"/>
        <v>SPS1</v>
      </c>
      <c r="C1928" s="5" t="str">
        <f t="shared" si="1301"/>
        <v>CH</v>
      </c>
      <c r="D1928" t="s">
        <v>1951</v>
      </c>
      <c r="E1928" t="str">
        <f t="shared" si="1302"/>
        <v>Million</v>
      </c>
      <c r="F1928" s="1" cm="1">
        <f t="array" ref="F1928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28" s="1" cm="1">
        <f t="array" ref="G1928">SUMPRODUCT(("Var_Cap"=[1]OUT_TransportEnergyCons!$B$4:$B$10000)*1,("-"=[1]OUT_TransportEnergyCons!$C$4:$C$10000)*1,ISNUMBER(SEARCH("T_C*mhy*GSL*s3",[1]OUT_TransportEnergyCons!$A$4:$A$10000))*1,[1]OUT_TransportEnergyCons!E$4:E$10000)</f>
        <v>6.9598300227894801E-6</v>
      </c>
      <c r="H1928" s="1" cm="1">
        <f t="array" ref="H1928">SUMPRODUCT(("Var_Cap"=[1]OUT_TransportEnergyCons!$B$4:$B$10000)*1,("-"=[1]OUT_TransportEnergyCons!$C$4:$C$10000)*1,ISNUMBER(SEARCH("T_C*mhy*GSL*s3",[1]OUT_TransportEnergyCons!$A$4:$A$10000))*1,[1]OUT_TransportEnergyCons!F$4:F$10000)</f>
        <v>2.63210037716515E-5</v>
      </c>
      <c r="I1928" s="1" cm="1">
        <f t="array" ref="I1928">SUMPRODUCT(("Var_Cap"=[1]OUT_TransportEnergyCons!$B$4:$B$10000)*1,("-"=[1]OUT_TransportEnergyCons!$C$4:$C$10000)*1,ISNUMBER(SEARCH("T_C*mhy*GSL*s3",[1]OUT_TransportEnergyCons!$A$4:$A$10000))*1,[1]OUT_TransportEnergyCons!G$4:G$10000)</f>
        <v>3.4071702136535999E-5</v>
      </c>
      <c r="J1928" s="1" cm="1">
        <f t="array" ref="J1928">SUMPRODUCT(("Var_Cap"=[1]OUT_TransportEnergyCons!$B$4:$B$10000)*1,("-"=[1]OUT_TransportEnergyCons!$C$4:$C$10000)*1,ISNUMBER(SEARCH("T_C*mhy*GSL*s3",[1]OUT_TransportEnergyCons!$A$4:$A$10000))*1,[1]OUT_TransportEnergyCons!H$4:H$10000)</f>
        <v>6.2905813564283701E-6</v>
      </c>
      <c r="K1928" s="1" cm="1">
        <f t="array" ref="K1928">SUMPRODUCT(("Var_Cap"=[1]OUT_TransportEnergyCons!$B$4:$B$10000)*1,("-"=[1]OUT_TransportEnergyCons!$C$4:$C$10000)*1,ISNUMBER(SEARCH("T_C*mhy*GSL*s3",[1]OUT_TransportEnergyCons!$A$4:$A$10000))*1,[1]OUT_TransportEnergyCons!I$4:I$10000)</f>
        <v>0</v>
      </c>
    </row>
    <row r="1929" spans="2:11" x14ac:dyDescent="0.35">
      <c r="B1929" s="5" t="str">
        <f t="shared" si="1300"/>
        <v>SPS1</v>
      </c>
      <c r="C1929" s="5" t="str">
        <f t="shared" si="1301"/>
        <v>CH</v>
      </c>
      <c r="D1929" t="s">
        <v>1952</v>
      </c>
      <c r="E1929" t="str">
        <f t="shared" si="1302"/>
        <v>Million</v>
      </c>
      <c r="F1929" s="1" cm="1">
        <f t="array" ref="F1929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29" s="1" cm="1">
        <f t="array" ref="G1929">SUMPRODUCT(("Var_Cap"=[1]OUT_TransportEnergyCons!$B$4:$B$10000)*1,("-"=[1]OUT_TransportEnergyCons!$C$4:$C$10000)*1,ISNUMBER(SEARCH("T_C*mhy*GSL*s4",[1]OUT_TransportEnergyCons!$A$4:$A$10000))*1,[1]OUT_TransportEnergyCons!E$4:E$10000)</f>
        <v>1.0080128044623E-5</v>
      </c>
      <c r="H1929" s="1" cm="1">
        <f t="array" ref="H1929">SUMPRODUCT(("Var_Cap"=[1]OUT_TransportEnergyCons!$B$4:$B$10000)*1,("-"=[1]OUT_TransportEnergyCons!$C$4:$C$10000)*1,ISNUMBER(SEARCH("T_C*mhy*GSL*s4",[1]OUT_TransportEnergyCons!$A$4:$A$10000))*1,[1]OUT_TransportEnergyCons!F$4:F$10000)</f>
        <v>4.3472208833380398E-5</v>
      </c>
      <c r="I1929" s="1" cm="1">
        <f t="array" ref="I1929">SUMPRODUCT(("Var_Cap"=[1]OUT_TransportEnergyCons!$B$4:$B$10000)*1,("-"=[1]OUT_TransportEnergyCons!$C$4:$C$10000)*1,ISNUMBER(SEARCH("T_C*mhy*GSL*s4",[1]OUT_TransportEnergyCons!$A$4:$A$10000))*1,[1]OUT_TransportEnergyCons!G$4:G$10000)</f>
        <v>5.9462898951726698E-5</v>
      </c>
      <c r="J1929" s="1" cm="1">
        <f t="array" ref="J1929">SUMPRODUCT(("Var_Cap"=[1]OUT_TransportEnergyCons!$B$4:$B$10000)*1,("-"=[1]OUT_TransportEnergyCons!$C$4:$C$10000)*1,ISNUMBER(SEARCH("T_C*mhy*GSL*s4",[1]OUT_TransportEnergyCons!$A$4:$A$10000))*1,[1]OUT_TransportEnergyCons!H$4:H$10000)</f>
        <v>1.17499547561204E-5</v>
      </c>
      <c r="K1929" s="1" cm="1">
        <f t="array" ref="K1929">SUMPRODUCT(("Var_Cap"=[1]OUT_TransportEnergyCons!$B$4:$B$10000)*1,("-"=[1]OUT_TransportEnergyCons!$C$4:$C$10000)*1,ISNUMBER(SEARCH("T_C*mhy*GSL*s4",[1]OUT_TransportEnergyCons!$A$4:$A$10000))*1,[1]OUT_TransportEnergyCons!I$4:I$10000)</f>
        <v>0</v>
      </c>
    </row>
    <row r="1930" spans="2:11" x14ac:dyDescent="0.35">
      <c r="B1930" s="5" t="str">
        <f t="shared" si="1300"/>
        <v>SPS1</v>
      </c>
      <c r="C1930" s="5" t="str">
        <f t="shared" si="1301"/>
        <v>CH</v>
      </c>
      <c r="D1930" t="s">
        <v>1953</v>
      </c>
      <c r="E1930" t="str">
        <f t="shared" si="1302"/>
        <v>Million</v>
      </c>
      <c r="F1930" s="1" cm="1">
        <f t="array" ref="F1930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0" s="1" cm="1">
        <f t="array" ref="G1930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0" s="1" cm="1">
        <f t="array" ref="H1930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0" s="1" cm="1">
        <f t="array" ref="I1930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0" s="1" cm="1">
        <f t="array" ref="J1930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0" s="1" cm="1">
        <f t="array" ref="K1930">SUMPRODUCT(("Var_Cap"=[1]OUT_TransportEnergyCons!$B$4:$B$10000)*1,("-"=[1]OUT_TransportEnergyCons!$C$4:$C$10000)*1,ISNUMBER(SEARCH("T_C*hy*dsl*ext",[1]OUT_TransportEnergyCons!$A$4:$A$10000))*1,[1]OUT_TransportEnergyCons!I$4:I$10000)</f>
        <v>0</v>
      </c>
    </row>
    <row r="1931" spans="2:11" x14ac:dyDescent="0.35">
      <c r="B1931" s="5" t="str">
        <f t="shared" si="1300"/>
        <v>SPS1</v>
      </c>
      <c r="C1931" s="5" t="str">
        <f t="shared" si="1301"/>
        <v>CH</v>
      </c>
      <c r="D1931" t="s">
        <v>1954</v>
      </c>
      <c r="E1931" t="str">
        <f t="shared" si="1302"/>
        <v>Million</v>
      </c>
      <c r="F1931" s="1" cm="1">
        <f t="array" ref="F1931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1" s="1" cm="1">
        <f t="array" ref="G1931">SUMPRODUCT(("Var_Cap"=[1]OUT_TransportEnergyCons!$B$4:$B$10000)*1,("-"=[1]OUT_TransportEnergyCons!$C$4:$C$10000)*1,ISNUMBER(SEARCH("T_C*hy*dsl*s1",[1]OUT_TransportEnergyCons!$A$4:$A$10000))*1,[1]OUT_TransportEnergyCons!E$4:E$10000)</f>
        <v>3.2121631445234992E-2</v>
      </c>
      <c r="H1931" s="1" cm="1">
        <f t="array" ref="H1931">SUMPRODUCT(("Var_Cap"=[1]OUT_TransportEnergyCons!$B$4:$B$10000)*1,("-"=[1]OUT_TransportEnergyCons!$C$4:$C$10000)*1,ISNUMBER(SEARCH("T_C*hy*dsl*s1",[1]OUT_TransportEnergyCons!$A$4:$A$10000))*1,[1]OUT_TransportEnergyCons!F$4:F$10000)</f>
        <v>3.0785922472483494E-2</v>
      </c>
      <c r="I1931" s="1" cm="1">
        <f t="array" ref="I1931">SUMPRODUCT(("Var_Cap"=[1]OUT_TransportEnergyCons!$B$4:$B$10000)*1,("-"=[1]OUT_TransportEnergyCons!$C$4:$C$10000)*1,ISNUMBER(SEARCH("T_C*hy*dsl*s1",[1]OUT_TransportEnergyCons!$A$4:$A$10000))*1,[1]OUT_TransportEnergyCons!G$4:G$10000)</f>
        <v>2.4803387805764469E-2</v>
      </c>
      <c r="J1931" s="1" cm="1">
        <f t="array" ref="J1931">SUMPRODUCT(("Var_Cap"=[1]OUT_TransportEnergyCons!$B$4:$B$10000)*1,("-"=[1]OUT_TransportEnergyCons!$C$4:$C$10000)*1,ISNUMBER(SEARCH("T_C*hy*dsl*s1",[1]OUT_TransportEnergyCons!$A$4:$A$10000))*1,[1]OUT_TransportEnergyCons!H$4:H$10000)</f>
        <v>6.2518659467863889E-5</v>
      </c>
      <c r="K1931" s="1" cm="1">
        <f t="array" ref="K1931">SUMPRODUCT(("Var_Cap"=[1]OUT_TransportEnergyCons!$B$4:$B$10000)*1,("-"=[1]OUT_TransportEnergyCons!$C$4:$C$10000)*1,ISNUMBER(SEARCH("T_C*hy*dsl*s1",[1]OUT_TransportEnergyCons!$A$4:$A$10000))*1,[1]OUT_TransportEnergyCons!I$4:I$10000)</f>
        <v>0</v>
      </c>
    </row>
    <row r="1932" spans="2:11" x14ac:dyDescent="0.35">
      <c r="B1932" s="5" t="str">
        <f t="shared" si="1300"/>
        <v>SPS1</v>
      </c>
      <c r="C1932" s="5" t="str">
        <f t="shared" si="1301"/>
        <v>CH</v>
      </c>
      <c r="D1932" t="s">
        <v>1955</v>
      </c>
      <c r="E1932" t="str">
        <f t="shared" si="1302"/>
        <v>Million</v>
      </c>
      <c r="F1932" s="1" cm="1">
        <f t="array" ref="F1932">SUMPRODUCT(("Var_Cap"=[1]OUT_TransportEnergyCons!$B$4:$B$10000)*1,("-"=[1]OUT_TransportEnergyCons!$C$4:$C$10000)*1,ISNUMBER(SEARCH("T_C*hy*dsl*s2",[1]OUT_TransportEnergyCons!$A$4:$A$10000))*1,[1]OUT_TransportEnergyCons!D$4:D$10000)</f>
        <v>2.5974980278954131E-4</v>
      </c>
      <c r="G1932" s="1" cm="1">
        <f t="array" ref="G1932">SUMPRODUCT(("Var_Cap"=[1]OUT_TransportEnergyCons!$B$4:$B$10000)*1,("-"=[1]OUT_TransportEnergyCons!$C$4:$C$10000)*1,ISNUMBER(SEARCH("T_C*hy*dsl*s2",[1]OUT_TransportEnergyCons!$A$4:$A$10000))*1,[1]OUT_TransportEnergyCons!E$4:E$10000)</f>
        <v>9.2729346840169924E-2</v>
      </c>
      <c r="H1932" s="1" cm="1">
        <f t="array" ref="H1932">SUMPRODUCT(("Var_Cap"=[1]OUT_TransportEnergyCons!$B$4:$B$10000)*1,("-"=[1]OUT_TransportEnergyCons!$C$4:$C$10000)*1,ISNUMBER(SEARCH("T_C*hy*dsl*s2",[1]OUT_TransportEnergyCons!$A$4:$A$10000))*1,[1]OUT_TransportEnergyCons!F$4:F$10000)</f>
        <v>0.21006462794492473</v>
      </c>
      <c r="I1932" s="1" cm="1">
        <f t="array" ref="I1932">SUMPRODUCT(("Var_Cap"=[1]OUT_TransportEnergyCons!$B$4:$B$10000)*1,("-"=[1]OUT_TransportEnergyCons!$C$4:$C$10000)*1,ISNUMBER(SEARCH("T_C*hy*dsl*s2",[1]OUT_TransportEnergyCons!$A$4:$A$10000))*1,[1]OUT_TransportEnergyCons!G$4:G$10000)</f>
        <v>0.17803943449369697</v>
      </c>
      <c r="J1932" s="1" cm="1">
        <f t="array" ref="J1932">SUMPRODUCT(("Var_Cap"=[1]OUT_TransportEnergyCons!$B$4:$B$10000)*1,("-"=[1]OUT_TransportEnergyCons!$C$4:$C$10000)*1,ISNUMBER(SEARCH("T_C*hy*dsl*s2",[1]OUT_TransportEnergyCons!$A$4:$A$10000))*1,[1]OUT_TransportEnergyCons!H$4:H$10000)</f>
        <v>1.0388587856390172E-2</v>
      </c>
      <c r="K1932" s="1" cm="1">
        <f t="array" ref="K1932">SUMPRODUCT(("Var_Cap"=[1]OUT_TransportEnergyCons!$B$4:$B$10000)*1,("-"=[1]OUT_TransportEnergyCons!$C$4:$C$10000)*1,ISNUMBER(SEARCH("T_C*hy*dsl*s2",[1]OUT_TransportEnergyCons!$A$4:$A$10000))*1,[1]OUT_TransportEnergyCons!I$4:I$10000)</f>
        <v>0</v>
      </c>
    </row>
    <row r="1933" spans="2:11" x14ac:dyDescent="0.35">
      <c r="B1933" s="5" t="str">
        <f t="shared" si="1300"/>
        <v>SPS1</v>
      </c>
      <c r="C1933" s="5" t="str">
        <f t="shared" si="1301"/>
        <v>CH</v>
      </c>
      <c r="D1933" t="s">
        <v>1956</v>
      </c>
      <c r="E1933" t="str">
        <f t="shared" si="1302"/>
        <v>Million</v>
      </c>
      <c r="F1933" s="1" cm="1">
        <f t="array" ref="F1933">SUMPRODUCT(("Var_Cap"=[1]OUT_TransportEnergyCons!$B$4:$B$10000)*1,("-"=[1]OUT_TransportEnergyCons!$C$4:$C$10000)*1,ISNUMBER(SEARCH("T_C*hy*dsl*s3",[1]OUT_TransportEnergyCons!$A$4:$A$10000))*1,[1]OUT_TransportEnergyCons!D$4:D$10000)</f>
        <v>1.8561251927152202E-3</v>
      </c>
      <c r="G1933" s="1" cm="1">
        <f t="array" ref="G1933">SUMPRODUCT(("Var_Cap"=[1]OUT_TransportEnergyCons!$B$4:$B$10000)*1,("-"=[1]OUT_TransportEnergyCons!$C$4:$C$10000)*1,ISNUMBER(SEARCH("T_C*hy*dsl*s3",[1]OUT_TransportEnergyCons!$A$4:$A$10000))*1,[1]OUT_TransportEnergyCons!E$4:E$10000)</f>
        <v>3.7240315447017755E-3</v>
      </c>
      <c r="H1933" s="1" cm="1">
        <f t="array" ref="H1933">SUMPRODUCT(("Var_Cap"=[1]OUT_TransportEnergyCons!$B$4:$B$10000)*1,("-"=[1]OUT_TransportEnergyCons!$C$4:$C$10000)*1,ISNUMBER(SEARCH("T_C*hy*dsl*s3",[1]OUT_TransportEnergyCons!$A$4:$A$10000))*1,[1]OUT_TransportEnergyCons!F$4:F$10000)</f>
        <v>3.5771064841907643E-3</v>
      </c>
      <c r="I1933" s="1" cm="1">
        <f t="array" ref="I1933">SUMPRODUCT(("Var_Cap"=[1]OUT_TransportEnergyCons!$B$4:$B$10000)*1,("-"=[1]OUT_TransportEnergyCons!$C$4:$C$10000)*1,ISNUMBER(SEARCH("T_C*hy*dsl*s3",[1]OUT_TransportEnergyCons!$A$4:$A$10000))*1,[1]OUT_TransportEnergyCons!G$4:G$10000)</f>
        <v>2.8583336694581679E-3</v>
      </c>
      <c r="J1933" s="1" cm="1">
        <f t="array" ref="J1933">SUMPRODUCT(("Var_Cap"=[1]OUT_TransportEnergyCons!$B$4:$B$10000)*1,("-"=[1]OUT_TransportEnergyCons!$C$4:$C$10000)*1,ISNUMBER(SEARCH("T_C*hy*dsl*s3",[1]OUT_TransportEnergyCons!$A$4:$A$10000))*1,[1]OUT_TransportEnergyCons!H$4:H$10000)</f>
        <v>9.0796716110468504E-6</v>
      </c>
      <c r="K1933" s="1" cm="1">
        <f t="array" ref="K1933">SUMPRODUCT(("Var_Cap"=[1]OUT_TransportEnergyCons!$B$4:$B$10000)*1,("-"=[1]OUT_TransportEnergyCons!$C$4:$C$10000)*1,ISNUMBER(SEARCH("T_C*hy*dsl*s3",[1]OUT_TransportEnergyCons!$A$4:$A$10000))*1,[1]OUT_TransportEnergyCons!I$4:I$10000)</f>
        <v>0</v>
      </c>
    </row>
    <row r="1934" spans="2:11" x14ac:dyDescent="0.35">
      <c r="B1934" s="5" t="str">
        <f t="shared" si="1300"/>
        <v>SPS1</v>
      </c>
      <c r="C1934" s="5" t="str">
        <f t="shared" si="1301"/>
        <v>CH</v>
      </c>
      <c r="D1934" t="s">
        <v>1957</v>
      </c>
      <c r="E1934" t="str">
        <f t="shared" si="1302"/>
        <v>Million</v>
      </c>
      <c r="F1934" s="1" cm="1">
        <f t="array" ref="F1934">SUMPRODUCT(("Var_Cap"=[1]OUT_TransportEnergyCons!$B$4:$B$10000)*1,("-"=[1]OUT_TransportEnergyCons!$C$4:$C$10000)*1,ISNUMBER(SEARCH("T_C*hy*dsl*s4",[1]OUT_TransportEnergyCons!$A$4:$A$10000))*1,[1]OUT_TransportEnergyCons!D$4:D$10000)</f>
        <v>3.7727206989081039E-3</v>
      </c>
      <c r="G1934" s="1" cm="1">
        <f t="array" ref="G1934">SUMPRODUCT(("Var_Cap"=[1]OUT_TransportEnergyCons!$B$4:$B$10000)*1,("-"=[1]OUT_TransportEnergyCons!$C$4:$C$10000)*1,ISNUMBER(SEARCH("T_C*hy*dsl*s4",[1]OUT_TransportEnergyCons!$A$4:$A$10000))*1,[1]OUT_TransportEnergyCons!E$4:E$10000)</f>
        <v>8.8243504584150402E-3</v>
      </c>
      <c r="H1934" s="1" cm="1">
        <f t="array" ref="H1934">SUMPRODUCT(("Var_Cap"=[1]OUT_TransportEnergyCons!$B$4:$B$10000)*1,("-"=[1]OUT_TransportEnergyCons!$C$4:$C$10000)*1,ISNUMBER(SEARCH("T_C*hy*dsl*s4",[1]OUT_TransportEnergyCons!$A$4:$A$10000))*1,[1]OUT_TransportEnergyCons!F$4:F$10000)</f>
        <v>8.4401805287027329E-3</v>
      </c>
      <c r="I1934" s="1" cm="1">
        <f t="array" ref="I1934">SUMPRODUCT(("Var_Cap"=[1]OUT_TransportEnergyCons!$B$4:$B$10000)*1,("-"=[1]OUT_TransportEnergyCons!$C$4:$C$10000)*1,ISNUMBER(SEARCH("T_C*hy*dsl*s4",[1]OUT_TransportEnergyCons!$A$4:$A$10000))*1,[1]OUT_TransportEnergyCons!G$4:G$10000)</f>
        <v>7.0873912651851848E-3</v>
      </c>
      <c r="J1934" s="1" cm="1">
        <f t="array" ref="J1934">SUMPRODUCT(("Var_Cap"=[1]OUT_TransportEnergyCons!$B$4:$B$10000)*1,("-"=[1]OUT_TransportEnergyCons!$C$4:$C$10000)*1,ISNUMBER(SEARCH("T_C*hy*dsl*s4",[1]OUT_TransportEnergyCons!$A$4:$A$10000))*1,[1]OUT_TransportEnergyCons!H$4:H$10000)</f>
        <v>8.20761851652401E-6</v>
      </c>
      <c r="K1934" s="1" cm="1">
        <f t="array" ref="K1934">SUMPRODUCT(("Var_Cap"=[1]OUT_TransportEnergyCons!$B$4:$B$10000)*1,("-"=[1]OUT_TransportEnergyCons!$C$4:$C$10000)*1,ISNUMBER(SEARCH("T_C*hy*dsl*s4",[1]OUT_TransportEnergyCons!$A$4:$A$10000))*1,[1]OUT_TransportEnergyCons!I$4:I$10000)</f>
        <v>0</v>
      </c>
    </row>
    <row r="1935" spans="2:11" x14ac:dyDescent="0.35">
      <c r="B1935" s="5" t="str">
        <f t="shared" si="1300"/>
        <v>SPS1</v>
      </c>
      <c r="C1935" s="5" t="str">
        <f t="shared" si="1301"/>
        <v>CH</v>
      </c>
      <c r="D1935" t="s">
        <v>1958</v>
      </c>
      <c r="E1935" t="str">
        <f t="shared" si="1302"/>
        <v>Million</v>
      </c>
      <c r="F1935" s="1" cm="1">
        <f t="array" ref="F1935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35" s="1" cm="1">
        <f t="array" ref="G1935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35" s="1" cm="1">
        <f t="array" ref="H1935">SUMPRODUCT(("Var_Cap"=[1]OUT_TransportEnergyCons!$B$4:$B$10000)*1,("-"=[1]OUT_TransportEnergyCons!$C$4:$C$10000)*1,ISNUMBER(SEARCH("T_C*ICE*dsl*ext",[1]OUT_TransportEnergyCons!$A$4:$A$10000))*1,[1]OUT_TransportEnergyCons!F$4:F$10000)</f>
        <v>0.70637196699671456</v>
      </c>
      <c r="I1935" s="1" cm="1">
        <f t="array" ref="I1935">SUMPRODUCT(("Var_Cap"=[1]OUT_TransportEnergyCons!$B$4:$B$10000)*1,("-"=[1]OUT_TransportEnergyCons!$C$4:$C$10000)*1,ISNUMBER(SEARCH("T_C*ICE*dsl*ext",[1]OUT_TransportEnergyCons!$A$4:$A$10000))*1,[1]OUT_TransportEnergyCons!G$4:G$10000)</f>
        <v>0.35318594286991578</v>
      </c>
      <c r="J1935" s="1" cm="1">
        <f t="array" ref="J1935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SUMPRODUCT(("Var_Cap"=[1]OUT_TransportEnergyCons!$B$4:$B$10000)*1,("-"=[1]OUT_TransportEnergyCons!$C$4:$C$10000)*1,ISNUMBER(SEARCH("T_C*ICE*dsl*ext",[1]OUT_TransportEnergyCons!$A$4:$A$10000))*1,[1]OUT_TransportEnergyCons!I$4:I$10000)</f>
        <v>0</v>
      </c>
    </row>
    <row r="1936" spans="2:11" x14ac:dyDescent="0.35">
      <c r="B1936" s="5" t="str">
        <f t="shared" si="1300"/>
        <v>SPS1</v>
      </c>
      <c r="C1936" s="5" t="str">
        <f t="shared" si="1301"/>
        <v>CH</v>
      </c>
      <c r="D1936" t="s">
        <v>1959</v>
      </c>
      <c r="E1936" t="str">
        <f t="shared" si="1302"/>
        <v>Million</v>
      </c>
      <c r="F1936" s="1" cm="1">
        <f t="array" ref="F1936">SUMPRODUCT(("Var_Cap"=[1]OUT_TransportEnergyCons!$B$4:$B$10000)*1,("-"=[1]OUT_TransportEnergyCons!$C$4:$C$10000)*1,ISNUMBER(SEARCH("T_C*ICE*dsl*s1",[1]OUT_TransportEnergyCons!$A$4:$A$10000))*1,[1]OUT_TransportEnergyCons!D$4:D$10000)</f>
        <v>4.44589231990057E-4</v>
      </c>
      <c r="G1936" s="1" cm="1">
        <f t="array" ref="G1936">SUMPRODUCT(("Var_Cap"=[1]OUT_TransportEnergyCons!$B$4:$B$10000)*1,("-"=[1]OUT_TransportEnergyCons!$C$4:$C$10000)*1,ISNUMBER(SEARCH("T_C*ICE*dsl*s1",[1]OUT_TransportEnergyCons!$A$4:$A$10000))*1,[1]OUT_TransportEnergyCons!E$4:E$10000)</f>
        <v>4.9666475343512566E-4</v>
      </c>
      <c r="H1936" s="1" cm="1">
        <f t="array" ref="H1936">SUMPRODUCT(("Var_Cap"=[1]OUT_TransportEnergyCons!$B$4:$B$10000)*1,("-"=[1]OUT_TransportEnergyCons!$C$4:$C$10000)*1,ISNUMBER(SEARCH("T_C*ICE*dsl*s1",[1]OUT_TransportEnergyCons!$A$4:$A$10000))*1,[1]OUT_TransportEnergyCons!F$4:F$10000)</f>
        <v>5.2535184714697721E-4</v>
      </c>
      <c r="I1936" s="1" cm="1">
        <f t="array" ref="I1936">SUMPRODUCT(("Var_Cap"=[1]OUT_TransportEnergyCons!$B$4:$B$10000)*1,("-"=[1]OUT_TransportEnergyCons!$C$4:$C$10000)*1,ISNUMBER(SEARCH("T_C*ICE*dsl*s1",[1]OUT_TransportEnergyCons!$A$4:$A$10000))*1,[1]OUT_TransportEnergyCons!G$4:G$10000)</f>
        <v>3.960995161581438E-4</v>
      </c>
      <c r="J1936" s="1" cm="1">
        <f t="array" ref="J1936">SUMPRODUCT(("Var_Cap"=[1]OUT_TransportEnergyCons!$B$4:$B$10000)*1,("-"=[1]OUT_TransportEnergyCons!$C$4:$C$10000)*1,ISNUMBER(SEARCH("T_C*ICE*dsl*s1",[1]OUT_TransportEnergyCons!$A$4:$A$10000))*1,[1]OUT_TransportEnergyCons!H$4:H$10000)</f>
        <v>9.9131346906323383E-6</v>
      </c>
      <c r="K1936" s="1" cm="1">
        <f t="array" ref="K1936">SUMPRODUCT(("Var_Cap"=[1]OUT_TransportEnergyCons!$B$4:$B$10000)*1,("-"=[1]OUT_TransportEnergyCons!$C$4:$C$10000)*1,ISNUMBER(SEARCH("T_C*ICE*dsl*s1",[1]OUT_TransportEnergyCons!$A$4:$A$10000))*1,[1]OUT_TransportEnergyCons!I$4:I$10000)</f>
        <v>0</v>
      </c>
    </row>
    <row r="1937" spans="2:11" x14ac:dyDescent="0.35">
      <c r="B1937" s="5" t="str">
        <f t="shared" si="1300"/>
        <v>SPS1</v>
      </c>
      <c r="C1937" s="5" t="str">
        <f t="shared" si="1301"/>
        <v>CH</v>
      </c>
      <c r="D1937" t="s">
        <v>1960</v>
      </c>
      <c r="E1937" t="str">
        <f t="shared" si="1302"/>
        <v>Million</v>
      </c>
      <c r="F1937" s="1" cm="1">
        <f t="array" ref="F1937">SUMPRODUCT(("Var_Cap"=[1]OUT_TransportEnergyCons!$B$4:$B$10000)*1,("-"=[1]OUT_TransportEnergyCons!$C$4:$C$10000)*1,ISNUMBER(SEARCH("T_C*ICE*dsl*s2",[1]OUT_TransportEnergyCons!$A$4:$A$10000))*1,[1]OUT_TransportEnergyCons!D$4:D$10000)</f>
        <v>6.4569057522708695E-2</v>
      </c>
      <c r="G1937" s="1" cm="1">
        <f t="array" ref="G1937">SUMPRODUCT(("Var_Cap"=[1]OUT_TransportEnergyCons!$B$4:$B$10000)*1,("-"=[1]OUT_TransportEnergyCons!$C$4:$C$10000)*1,ISNUMBER(SEARCH("T_C*ICE*dsl*s2",[1]OUT_TransportEnergyCons!$A$4:$A$10000))*1,[1]OUT_TransportEnergyCons!E$4:E$10000)</f>
        <v>6.8515495169004056E-2</v>
      </c>
      <c r="H1937" s="1" cm="1">
        <f t="array" ref="H1937">SUMPRODUCT(("Var_Cap"=[1]OUT_TransportEnergyCons!$B$4:$B$10000)*1,("-"=[1]OUT_TransportEnergyCons!$C$4:$C$10000)*1,ISNUMBER(SEARCH("T_C*ICE*dsl*s2",[1]OUT_TransportEnergyCons!$A$4:$A$10000))*1,[1]OUT_TransportEnergyCons!F$4:F$10000)</f>
        <v>6.7915088293169543E-2</v>
      </c>
      <c r="I1937" s="1" cm="1">
        <f t="array" ref="I1937">SUMPRODUCT(("Var_Cap"=[1]OUT_TransportEnergyCons!$B$4:$B$10000)*1,("-"=[1]OUT_TransportEnergyCons!$C$4:$C$10000)*1,ISNUMBER(SEARCH("T_C*ICE*dsl*s2",[1]OUT_TransportEnergyCons!$A$4:$A$10000))*1,[1]OUT_TransportEnergyCons!G$4:G$10000)</f>
        <v>5.1498335964040902E-2</v>
      </c>
      <c r="J1937" s="1" cm="1">
        <f t="array" ref="J1937">SUMPRODUCT(("Var_Cap"=[1]OUT_TransportEnergyCons!$B$4:$B$10000)*1,("-"=[1]OUT_TransportEnergyCons!$C$4:$C$10000)*1,ISNUMBER(SEARCH("T_C*ICE*dsl*s2",[1]OUT_TransportEnergyCons!$A$4:$A$10000))*1,[1]OUT_TransportEnergyCons!H$4:H$10000)</f>
        <v>6.0704417775776627E-6</v>
      </c>
      <c r="K1937" s="1" cm="1">
        <f t="array" ref="K1937">SUMPRODUCT(("Var_Cap"=[1]OUT_TransportEnergyCons!$B$4:$B$10000)*1,("-"=[1]OUT_TransportEnergyCons!$C$4:$C$10000)*1,ISNUMBER(SEARCH("T_C*ICE*dsl*s2",[1]OUT_TransportEnergyCons!$A$4:$A$10000))*1,[1]OUT_TransportEnergyCons!I$4:I$10000)</f>
        <v>0</v>
      </c>
    </row>
    <row r="1938" spans="2:11" x14ac:dyDescent="0.35">
      <c r="B1938" s="5" t="str">
        <f t="shared" si="1300"/>
        <v>SPS1</v>
      </c>
      <c r="C1938" s="5" t="str">
        <f t="shared" si="1301"/>
        <v>CH</v>
      </c>
      <c r="D1938" t="s">
        <v>1961</v>
      </c>
      <c r="E1938" t="str">
        <f t="shared" si="1302"/>
        <v>Million</v>
      </c>
      <c r="F1938" s="1" cm="1">
        <f t="array" ref="F1938">SUMPRODUCT(("Var_Cap"=[1]OUT_TransportEnergyCons!$B$4:$B$10000)*1,("-"=[1]OUT_TransportEnergyCons!$C$4:$C$10000)*1,ISNUMBER(SEARCH("T_C*ICE*dsl*s3",[1]OUT_TransportEnergyCons!$A$4:$A$10000))*1,[1]OUT_TransportEnergyCons!D$4:D$10000)</f>
        <v>0.18324097487890303</v>
      </c>
      <c r="G1938" s="1" cm="1">
        <f t="array" ref="G1938">SUMPRODUCT(("Var_Cap"=[1]OUT_TransportEnergyCons!$B$4:$B$10000)*1,("-"=[1]OUT_TransportEnergyCons!$C$4:$C$10000)*1,ISNUMBER(SEARCH("T_C*ICE*dsl*s3",[1]OUT_TransportEnergyCons!$A$4:$A$10000))*1,[1]OUT_TransportEnergyCons!E$4:E$10000)</f>
        <v>0.19500704424987636</v>
      </c>
      <c r="H1938" s="1" cm="1">
        <f t="array" ref="H1938">SUMPRODUCT(("Var_Cap"=[1]OUT_TransportEnergyCons!$B$4:$B$10000)*1,("-"=[1]OUT_TransportEnergyCons!$C$4:$C$10000)*1,ISNUMBER(SEARCH("T_C*ICE*dsl*s3",[1]OUT_TransportEnergyCons!$A$4:$A$10000))*1,[1]OUT_TransportEnergyCons!F$4:F$10000)</f>
        <v>0.19298667740717732</v>
      </c>
      <c r="I1938" s="1" cm="1">
        <f t="array" ref="I1938">SUMPRODUCT(("Var_Cap"=[1]OUT_TransportEnergyCons!$B$4:$B$10000)*1,("-"=[1]OUT_TransportEnergyCons!$C$4:$C$10000)*1,ISNUMBER(SEARCH("T_C*ICE*dsl*s3",[1]OUT_TransportEnergyCons!$A$4:$A$10000))*1,[1]OUT_TransportEnergyCons!G$4:G$10000)</f>
        <v>0.1499476023900857</v>
      </c>
      <c r="J1938" s="1" cm="1">
        <f t="array" ref="J1938">SUMPRODUCT(("Var_Cap"=[1]OUT_TransportEnergyCons!$B$4:$B$10000)*1,("-"=[1]OUT_TransportEnergyCons!$C$4:$C$10000)*1,ISNUMBER(SEARCH("T_C*ICE*dsl*s3",[1]OUT_TransportEnergyCons!$A$4:$A$10000))*1,[1]OUT_TransportEnergyCons!H$4:H$10000)</f>
        <v>4.2316744132188741E-6</v>
      </c>
      <c r="K1938" s="1" cm="1">
        <f t="array" ref="K1938">SUMPRODUCT(("Var_Cap"=[1]OUT_TransportEnergyCons!$B$4:$B$10000)*1,("-"=[1]OUT_TransportEnergyCons!$C$4:$C$10000)*1,ISNUMBER(SEARCH("T_C*ICE*dsl*s3",[1]OUT_TransportEnergyCons!$A$4:$A$10000))*1,[1]OUT_TransportEnergyCons!I$4:I$10000)</f>
        <v>0</v>
      </c>
    </row>
    <row r="1939" spans="2:11" x14ac:dyDescent="0.35">
      <c r="B1939" s="5" t="str">
        <f t="shared" si="1300"/>
        <v>SPS1</v>
      </c>
      <c r="C1939" s="5" t="str">
        <f t="shared" si="1301"/>
        <v>CH</v>
      </c>
      <c r="D1939" t="s">
        <v>1962</v>
      </c>
      <c r="E1939" t="str">
        <f t="shared" si="1302"/>
        <v>Million</v>
      </c>
      <c r="F1939" s="1" cm="1">
        <f t="array" ref="F1939">SUMPRODUCT(("Var_Cap"=[1]OUT_TransportEnergyCons!$B$4:$B$10000)*1,("-"=[1]OUT_TransportEnergyCons!$C$4:$C$10000)*1,ISNUMBER(SEARCH("T_C*ICE*dsl*s4",[1]OUT_TransportEnergyCons!$A$4:$A$10000))*1,[1]OUT_TransportEnergyCons!D$4:D$10000)</f>
        <v>7.1261886179240938E-2</v>
      </c>
      <c r="G1939" s="1" cm="1">
        <f t="array" ref="G1939">SUMPRODUCT(("Var_Cap"=[1]OUT_TransportEnergyCons!$B$4:$B$10000)*1,("-"=[1]OUT_TransportEnergyCons!$C$4:$C$10000)*1,ISNUMBER(SEARCH("T_C*ICE*dsl*s4",[1]OUT_TransportEnergyCons!$A$4:$A$10000))*1,[1]OUT_TransportEnergyCons!E$4:E$10000)</f>
        <v>7.9341520813884528E-2</v>
      </c>
      <c r="H1939" s="1" cm="1">
        <f t="array" ref="H1939">SUMPRODUCT(("Var_Cap"=[1]OUT_TransportEnergyCons!$B$4:$B$10000)*1,("-"=[1]OUT_TransportEnergyCons!$C$4:$C$10000)*1,ISNUMBER(SEARCH("T_C*ICE*dsl*s4",[1]OUT_TransportEnergyCons!$A$4:$A$10000))*1,[1]OUT_TransportEnergyCons!F$4:F$10000)</f>
        <v>7.8212679989380876E-2</v>
      </c>
      <c r="I1939" s="1" cm="1">
        <f t="array" ref="I1939">SUMPRODUCT(("Var_Cap"=[1]OUT_TransportEnergyCons!$B$4:$B$10000)*1,("-"=[1]OUT_TransportEnergyCons!$C$4:$C$10000)*1,ISNUMBER(SEARCH("T_C*ICE*dsl*s4",[1]OUT_TransportEnergyCons!$A$4:$A$10000))*1,[1]OUT_TransportEnergyCons!G$4:G$10000)</f>
        <v>6.1065112311759297E-2</v>
      </c>
      <c r="J1939" s="1" cm="1">
        <f t="array" ref="J1939">SUMPRODUCT(("Var_Cap"=[1]OUT_TransportEnergyCons!$B$4:$B$10000)*1,("-"=[1]OUT_TransportEnergyCons!$C$4:$C$10000)*1,ISNUMBER(SEARCH("T_C*ICE*dsl*s4",[1]OUT_TransportEnergyCons!$A$4:$A$10000))*1,[1]OUT_TransportEnergyCons!H$4:H$10000)</f>
        <v>2.9226587458482465E-6</v>
      </c>
      <c r="K1939" s="1" cm="1">
        <f t="array" ref="K1939">SUMPRODUCT(("Var_Cap"=[1]OUT_TransportEnergyCons!$B$4:$B$10000)*1,("-"=[1]OUT_TransportEnergyCons!$C$4:$C$10000)*1,ISNUMBER(SEARCH("T_C*ICE*dsl*s4",[1]OUT_TransportEnergyCons!$A$4:$A$10000))*1,[1]OUT_TransportEnergyCons!I$4:I$10000)</f>
        <v>0</v>
      </c>
    </row>
    <row r="1940" spans="2:11" x14ac:dyDescent="0.35">
      <c r="B1940" s="5" t="str">
        <f t="shared" si="1300"/>
        <v>SPS1</v>
      </c>
      <c r="C1940" s="5" t="str">
        <f t="shared" si="1301"/>
        <v>CH</v>
      </c>
      <c r="D1940" t="s">
        <v>1963</v>
      </c>
      <c r="E1940" t="str">
        <f t="shared" si="1302"/>
        <v>Million</v>
      </c>
      <c r="F1940" s="1" cm="1">
        <f t="array" ref="F1940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0" s="1" cm="1">
        <f t="array" ref="G1940">SUMPRODUCT(("Var_Cap"=[1]OUT_TransportEnergyCons!$B$4:$B$10000)*1,("-"=[1]OUT_TransportEnergyCons!$C$4:$C$10000)*1,ISNUMBER(SEARCH("T_C*mhy*dsl*s1",[1]OUT_TransportEnergyCons!$A$4:$A$10000))*1,[1]OUT_TransportEnergyCons!E$4:E$10000)</f>
        <v>1.1738774344899E-5</v>
      </c>
      <c r="H1940" s="1" cm="1">
        <f t="array" ref="H1940">SUMPRODUCT(("Var_Cap"=[1]OUT_TransportEnergyCons!$B$4:$B$10000)*1,("-"=[1]OUT_TransportEnergyCons!$C$4:$C$10000)*1,ISNUMBER(SEARCH("T_C*mhy*dsl*s1",[1]OUT_TransportEnergyCons!$A$4:$A$10000))*1,[1]OUT_TransportEnergyCons!F$4:F$10000)</f>
        <v>5.7054775700987201E-5</v>
      </c>
      <c r="I1940" s="1" cm="1">
        <f t="array" ref="I1940">SUMPRODUCT(("Var_Cap"=[1]OUT_TransportEnergyCons!$B$4:$B$10000)*1,("-"=[1]OUT_TransportEnergyCons!$C$4:$C$10000)*1,ISNUMBER(SEARCH("T_C*mhy*dsl*s1",[1]OUT_TransportEnergyCons!$A$4:$A$10000))*1,[1]OUT_TransportEnergyCons!G$4:G$10000)</f>
        <v>7.2440203375209703E-5</v>
      </c>
      <c r="J1940" s="1" cm="1">
        <f t="array" ref="J1940">SUMPRODUCT(("Var_Cap"=[1]OUT_TransportEnergyCons!$B$4:$B$10000)*1,("-"=[1]OUT_TransportEnergyCons!$C$4:$C$10000)*1,ISNUMBER(SEARCH("T_C*mhy*dsl*s1",[1]OUT_TransportEnergyCons!$A$4:$A$10000))*1,[1]OUT_TransportEnergyCons!H$4:H$10000)</f>
        <v>1.3233661220226899E-5</v>
      </c>
      <c r="K1940" s="1" cm="1">
        <f t="array" ref="K1940">SUMPRODUCT(("Var_Cap"=[1]OUT_TransportEnergyCons!$B$4:$B$10000)*1,("-"=[1]OUT_TransportEnergyCons!$C$4:$C$10000)*1,ISNUMBER(SEARCH("T_C*mhy*dsl*s1",[1]OUT_TransportEnergyCons!$A$4:$A$10000))*1,[1]OUT_TransportEnergyCons!I$4:I$10000)</f>
        <v>0</v>
      </c>
    </row>
    <row r="1941" spans="2:11" x14ac:dyDescent="0.35">
      <c r="B1941" s="5" t="str">
        <f t="shared" si="1300"/>
        <v>SPS1</v>
      </c>
      <c r="C1941" s="5" t="str">
        <f t="shared" si="1301"/>
        <v>CH</v>
      </c>
      <c r="D1941" t="s">
        <v>1964</v>
      </c>
      <c r="E1941" t="str">
        <f t="shared" si="1302"/>
        <v>Million</v>
      </c>
      <c r="F1941" s="1" cm="1">
        <f t="array" ref="F1941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1" s="1" cm="1">
        <f t="array" ref="G1941">SUMPRODUCT(("Var_Cap"=[1]OUT_TransportEnergyCons!$B$4:$B$10000)*1,("-"=[1]OUT_TransportEnergyCons!$C$4:$C$10000)*1,ISNUMBER(SEARCH("T_C*mhy*dsl*s2",[1]OUT_TransportEnergyCons!$A$4:$A$10000))*1,[1]OUT_TransportEnergyCons!E$4:E$10000)</f>
        <v>5.2820726761443101E-6</v>
      </c>
      <c r="H1941" s="1" cm="1">
        <f t="array" ref="H1941">SUMPRODUCT(("Var_Cap"=[1]OUT_TransportEnergyCons!$B$4:$B$10000)*1,("-"=[1]OUT_TransportEnergyCons!$C$4:$C$10000)*1,ISNUMBER(SEARCH("T_C*mhy*dsl*s2",[1]OUT_TransportEnergyCons!$A$4:$A$10000))*1,[1]OUT_TransportEnergyCons!F$4:F$10000)</f>
        <v>2.6383086909348998E-5</v>
      </c>
      <c r="I1941" s="1" cm="1">
        <f t="array" ref="I1941">SUMPRODUCT(("Var_Cap"=[1]OUT_TransportEnergyCons!$B$4:$B$10000)*1,("-"=[1]OUT_TransportEnergyCons!$C$4:$C$10000)*1,ISNUMBER(SEARCH("T_C*mhy*dsl*s2",[1]OUT_TransportEnergyCons!$A$4:$A$10000))*1,[1]OUT_TransportEnergyCons!G$4:G$10000)</f>
        <v>3.6818433115790498E-5</v>
      </c>
      <c r="J1941" s="1" cm="1">
        <f t="array" ref="J1941">SUMPRODUCT(("Var_Cap"=[1]OUT_TransportEnergyCons!$B$4:$B$10000)*1,("-"=[1]OUT_TransportEnergyCons!$C$4:$C$10000)*1,ISNUMBER(SEARCH("T_C*mhy*dsl*s2",[1]OUT_TransportEnergyCons!$A$4:$A$10000))*1,[1]OUT_TransportEnergyCons!H$4:H$10000)</f>
        <v>7.46854878251293E-6</v>
      </c>
      <c r="K1941" s="1" cm="1">
        <f t="array" ref="K1941">SUMPRODUCT(("Var_Cap"=[1]OUT_TransportEnergyCons!$B$4:$B$10000)*1,("-"=[1]OUT_TransportEnergyCons!$C$4:$C$10000)*1,ISNUMBER(SEARCH("T_C*mhy*dsl*s2",[1]OUT_TransportEnergyCons!$A$4:$A$10000))*1,[1]OUT_TransportEnergyCons!I$4:I$10000)</f>
        <v>0</v>
      </c>
    </row>
    <row r="1942" spans="2:11" x14ac:dyDescent="0.35">
      <c r="B1942" s="5" t="str">
        <f t="shared" si="1300"/>
        <v>SPS1</v>
      </c>
      <c r="C1942" s="5" t="str">
        <f t="shared" si="1301"/>
        <v>CH</v>
      </c>
      <c r="D1942" t="s">
        <v>1965</v>
      </c>
      <c r="E1942" t="str">
        <f t="shared" si="1302"/>
        <v>Million</v>
      </c>
      <c r="F1942" s="1" cm="1">
        <f t="array" ref="F1942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2" s="1" cm="1">
        <f t="array" ref="G1942">SUMPRODUCT(("Var_Cap"=[1]OUT_TransportEnergyCons!$B$4:$B$10000)*1,("-"=[1]OUT_TransportEnergyCons!$C$4:$C$10000)*1,ISNUMBER(SEARCH("T_C*mhy*dsl*s3",[1]OUT_TransportEnergyCons!$A$4:$A$10000))*1,[1]OUT_TransportEnergyCons!E$4:E$10000)</f>
        <v>5.8371472723943997E-6</v>
      </c>
      <c r="H1942" s="1" cm="1">
        <f t="array" ref="H1942">SUMPRODUCT(("Var_Cap"=[1]OUT_TransportEnergyCons!$B$4:$B$10000)*1,("-"=[1]OUT_TransportEnergyCons!$C$4:$C$10000)*1,ISNUMBER(SEARCH("T_C*mhy*dsl*s3",[1]OUT_TransportEnergyCons!$A$4:$A$10000))*1,[1]OUT_TransportEnergyCons!F$4:F$10000)</f>
        <v>2.1917925996570801E-5</v>
      </c>
      <c r="I1942" s="1" cm="1">
        <f t="array" ref="I1942">SUMPRODUCT(("Var_Cap"=[1]OUT_TransportEnergyCons!$B$4:$B$10000)*1,("-"=[1]OUT_TransportEnergyCons!$C$4:$C$10000)*1,ISNUMBER(SEARCH("T_C*mhy*dsl*s3",[1]OUT_TransportEnergyCons!$A$4:$A$10000))*1,[1]OUT_TransportEnergyCons!G$4:G$10000)</f>
        <v>2.8582223614416401E-5</v>
      </c>
      <c r="J1942" s="1" cm="1">
        <f t="array" ref="J1942">SUMPRODUCT(("Var_Cap"=[1]OUT_TransportEnergyCons!$B$4:$B$10000)*1,("-"=[1]OUT_TransportEnergyCons!$C$4:$C$10000)*1,ISNUMBER(SEARCH("T_C*mhy*dsl*s3",[1]OUT_TransportEnergyCons!$A$4:$A$10000))*1,[1]OUT_TransportEnergyCons!H$4:H$10000)</f>
        <v>5.3210705846008604E-6</v>
      </c>
      <c r="K1942" s="1" cm="1">
        <f t="array" ref="K1942">SUMPRODUCT(("Var_Cap"=[1]OUT_TransportEnergyCons!$B$4:$B$10000)*1,("-"=[1]OUT_TransportEnergyCons!$C$4:$C$10000)*1,ISNUMBER(SEARCH("T_C*mhy*dsl*s3",[1]OUT_TransportEnergyCons!$A$4:$A$10000))*1,[1]OUT_TransportEnergyCons!I$4:I$10000)</f>
        <v>0</v>
      </c>
    </row>
    <row r="1943" spans="2:11" x14ac:dyDescent="0.35">
      <c r="B1943" s="5" t="str">
        <f t="shared" si="1300"/>
        <v>SPS1</v>
      </c>
      <c r="C1943" s="5" t="str">
        <f t="shared" si="1301"/>
        <v>CH</v>
      </c>
      <c r="D1943" t="s">
        <v>1966</v>
      </c>
      <c r="E1943" t="str">
        <f t="shared" si="1302"/>
        <v>Million</v>
      </c>
      <c r="F1943" s="1" cm="1">
        <f t="array" ref="F1943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3" s="1" cm="1">
        <f t="array" ref="G1943">SUMPRODUCT(("Var_Cap"=[1]OUT_TransportEnergyCons!$B$4:$B$10000)*1,("-"=[1]OUT_TransportEnergyCons!$C$4:$C$10000)*1,ISNUMBER(SEARCH("T_C*mhy*dsl*s4",[1]OUT_TransportEnergyCons!$A$4:$A$10000))*1,[1]OUT_TransportEnergyCons!E$4:E$10000)</f>
        <v>4.4211116104652196E-6</v>
      </c>
      <c r="H1943" s="1" cm="1">
        <f t="array" ref="H1943">SUMPRODUCT(("Var_Cap"=[1]OUT_TransportEnergyCons!$B$4:$B$10000)*1,("-"=[1]OUT_TransportEnergyCons!$C$4:$C$10000)*1,ISNUMBER(SEARCH("T_C*mhy*dsl*s4",[1]OUT_TransportEnergyCons!$A$4:$A$10000))*1,[1]OUT_TransportEnergyCons!F$4:F$10000)</f>
        <v>1.31579071705028E-5</v>
      </c>
      <c r="I1943" s="1" cm="1">
        <f t="array" ref="I1943">SUMPRODUCT(("Var_Cap"=[1]OUT_TransportEnergyCons!$B$4:$B$10000)*1,("-"=[1]OUT_TransportEnergyCons!$C$4:$C$10000)*1,ISNUMBER(SEARCH("T_C*mhy*dsl*s4",[1]OUT_TransportEnergyCons!$A$4:$A$10000))*1,[1]OUT_TransportEnergyCons!G$4:G$10000)</f>
        <v>1.7980171507631601E-5</v>
      </c>
      <c r="J1943" s="1" cm="1">
        <f t="array" ref="J1943">SUMPRODUCT(("Var_Cap"=[1]OUT_TransportEnergyCons!$B$4:$B$10000)*1,("-"=[1]OUT_TransportEnergyCons!$C$4:$C$10000)*1,ISNUMBER(SEARCH("T_C*mhy*dsl*s4",[1]OUT_TransportEnergyCons!$A$4:$A$10000))*1,[1]OUT_TransportEnergyCons!H$4:H$10000)</f>
        <v>3.4797985146659098E-6</v>
      </c>
      <c r="K1943" s="1" cm="1">
        <f t="array" ref="K1943">SUMPRODUCT(("Var_Cap"=[1]OUT_TransportEnergyCons!$B$4:$B$10000)*1,("-"=[1]OUT_TransportEnergyCons!$C$4:$C$10000)*1,ISNUMBER(SEARCH("T_C*mhy*dsl*s4",[1]OUT_TransportEnergyCons!$A$4:$A$10000))*1,[1]OUT_TransportEnergyCons!I$4:I$10000)</f>
        <v>0</v>
      </c>
    </row>
    <row r="1944" spans="2:11" x14ac:dyDescent="0.35">
      <c r="B1944" s="5" t="str">
        <f t="shared" si="1300"/>
        <v>SPS1</v>
      </c>
      <c r="C1944" s="5" t="str">
        <f t="shared" si="1301"/>
        <v>CH</v>
      </c>
      <c r="D1944" t="s">
        <v>1967</v>
      </c>
      <c r="E1944" t="str">
        <f t="shared" si="1302"/>
        <v>Million</v>
      </c>
      <c r="F1944" s="1" cm="1">
        <f t="array" ref="F1944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4" s="1" cm="1">
        <f t="array" ref="G1944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4" s="1" cm="1">
        <f t="array" ref="H1944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4" s="1" cm="1">
        <f t="array" ref="I1944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4" s="1" cm="1">
        <f t="array" ref="J1944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4" s="1" cm="1">
        <f t="array" ref="K1944">SUMPRODUCT(("Var_Cap"=[1]OUT_TransportEnergyCons!$B$4:$B$10000)*1,("-"=[1]OUT_TransportEnergyCons!$C$4:$C$10000)*1,ISNUMBER(SEARCH("T_C*ICE*nga*ext",[1]OUT_TransportEnergyCons!$A$4:$A$10000))*1,[1]OUT_TransportEnergyCons!I$4:I$10000)</f>
        <v>0</v>
      </c>
    </row>
    <row r="1945" spans="2:11" x14ac:dyDescent="0.35">
      <c r="B1945" s="5" t="str">
        <f t="shared" si="1300"/>
        <v>SPS1</v>
      </c>
      <c r="C1945" s="5" t="str">
        <f t="shared" si="1301"/>
        <v>CH</v>
      </c>
      <c r="D1945" t="s">
        <v>1968</v>
      </c>
      <c r="E1945" t="str">
        <f t="shared" si="1302"/>
        <v>Million</v>
      </c>
      <c r="F1945" s="1" cm="1">
        <f t="array" ref="F1945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45" s="1" cm="1">
        <f t="array" ref="G1945">SUMPRODUCT(("Var_Cap"=[1]OUT_TransportEnergyCons!$B$4:$B$10000)*1,("-"=[1]OUT_TransportEnergyCons!$C$4:$C$10000)*1,ISNUMBER(SEARCH("T_C*ICE*nga*s1",[1]OUT_TransportEnergyCons!$A$4:$A$10000))*1,[1]OUT_TransportEnergyCons!E$4:E$10000)</f>
        <v>1.6806834446391459E-4</v>
      </c>
      <c r="H1945" s="1" cm="1">
        <f t="array" ref="H1945">SUMPRODUCT(("Var_Cap"=[1]OUT_TransportEnergyCons!$B$4:$B$10000)*1,("-"=[1]OUT_TransportEnergyCons!$C$4:$C$10000)*1,ISNUMBER(SEARCH("T_C*ICE*nga*s1",[1]OUT_TransportEnergyCons!$A$4:$A$10000))*1,[1]OUT_TransportEnergyCons!F$4:F$10000)</f>
        <v>1.696750717914223E-4</v>
      </c>
      <c r="I1945" s="1" cm="1">
        <f t="array" ref="I1945">SUMPRODUCT(("Var_Cap"=[1]OUT_TransportEnergyCons!$B$4:$B$10000)*1,("-"=[1]OUT_TransportEnergyCons!$C$4:$C$10000)*1,ISNUMBER(SEARCH("T_C*ICE*nga*s1",[1]OUT_TransportEnergyCons!$A$4:$A$10000))*1,[1]OUT_TransportEnergyCons!G$4:G$10000)</f>
        <v>1.2826194713169161E-5</v>
      </c>
      <c r="J1945" s="1" cm="1">
        <f t="array" ref="J1945">SUMPRODUCT(("Var_Cap"=[1]OUT_TransportEnergyCons!$B$4:$B$10000)*1,("-"=[1]OUT_TransportEnergyCons!$C$4:$C$10000)*1,ISNUMBER(SEARCH("T_C*ICE*nga*s1",[1]OUT_TransportEnergyCons!$A$4:$A$10000))*1,[1]OUT_TransportEnergyCons!H$4:H$10000)</f>
        <v>3.3508312428102876E-7</v>
      </c>
      <c r="K1945" s="1" cm="1">
        <f t="array" ref="K1945">SUMPRODUCT(("Var_Cap"=[1]OUT_TransportEnergyCons!$B$4:$B$10000)*1,("-"=[1]OUT_TransportEnergyCons!$C$4:$C$10000)*1,ISNUMBER(SEARCH("T_C*ICE*nga*s1",[1]OUT_TransportEnergyCons!$A$4:$A$10000))*1,[1]OUT_TransportEnergyCons!I$4:I$10000)</f>
        <v>0</v>
      </c>
    </row>
    <row r="1946" spans="2:11" x14ac:dyDescent="0.35">
      <c r="B1946" s="5" t="str">
        <f t="shared" si="1300"/>
        <v>SPS1</v>
      </c>
      <c r="C1946" s="5" t="str">
        <f t="shared" si="1301"/>
        <v>CH</v>
      </c>
      <c r="D1946" t="s">
        <v>1969</v>
      </c>
      <c r="E1946" t="str">
        <f t="shared" si="1302"/>
        <v>Million</v>
      </c>
      <c r="F1946" s="1" cm="1">
        <f t="array" ref="F1946">SUMPRODUCT(("Var_Cap"=[1]OUT_TransportEnergyCons!$B$4:$B$10000)*1,("-"=[1]OUT_TransportEnergyCons!$C$4:$C$10000)*1,ISNUMBER(SEARCH("T_C*ICE*nga*s2",[1]OUT_TransportEnergyCons!$A$4:$A$10000))*1,[1]OUT_TransportEnergyCons!D$4:D$10000)</f>
        <v>2.6902364593150698E-3</v>
      </c>
      <c r="G1946" s="1" cm="1">
        <f t="array" ref="G1946">SUMPRODUCT(("Var_Cap"=[1]OUT_TransportEnergyCons!$B$4:$B$10000)*1,("-"=[1]OUT_TransportEnergyCons!$C$4:$C$10000)*1,ISNUMBER(SEARCH("T_C*ICE*nga*s2",[1]OUT_TransportEnergyCons!$A$4:$A$10000))*1,[1]OUT_TransportEnergyCons!E$4:E$10000)</f>
        <v>2.8433280561912704E-3</v>
      </c>
      <c r="H1946" s="1" cm="1">
        <f t="array" ref="H1946">SUMPRODUCT(("Var_Cap"=[1]OUT_TransportEnergyCons!$B$4:$B$10000)*1,("-"=[1]OUT_TransportEnergyCons!$C$4:$C$10000)*1,ISNUMBER(SEARCH("T_C*ICE*nga*s2",[1]OUT_TransportEnergyCons!$A$4:$A$10000))*1,[1]OUT_TransportEnergyCons!F$4:F$10000)</f>
        <v>2.80674503885422E-3</v>
      </c>
      <c r="I1946" s="1" cm="1">
        <f t="array" ref="I1946">SUMPRODUCT(("Var_Cap"=[1]OUT_TransportEnergyCons!$B$4:$B$10000)*1,("-"=[1]OUT_TransportEnergyCons!$C$4:$C$10000)*1,ISNUMBER(SEARCH("T_C*ICE*nga*s2",[1]OUT_TransportEnergyCons!$A$4:$A$10000))*1,[1]OUT_TransportEnergyCons!G$4:G$10000)</f>
        <v>6.2324982020127428E-6</v>
      </c>
      <c r="J1946" s="1" cm="1">
        <f t="array" ref="J1946">SUMPRODUCT(("Var_Cap"=[1]OUT_TransportEnergyCons!$B$4:$B$10000)*1,("-"=[1]OUT_TransportEnergyCons!$C$4:$C$10000)*1,ISNUMBER(SEARCH("T_C*ICE*nga*s2",[1]OUT_TransportEnergyCons!$A$4:$A$10000))*1,[1]OUT_TransportEnergyCons!H$4:H$10000)</f>
        <v>3.2120925229530368E-7</v>
      </c>
      <c r="K1946" s="1" cm="1">
        <f t="array" ref="K1946">SUMPRODUCT(("Var_Cap"=[1]OUT_TransportEnergyCons!$B$4:$B$10000)*1,("-"=[1]OUT_TransportEnergyCons!$C$4:$C$10000)*1,ISNUMBER(SEARCH("T_C*ICE*nga*s2",[1]OUT_TransportEnergyCons!$A$4:$A$10000))*1,[1]OUT_TransportEnergyCons!I$4:I$10000)</f>
        <v>0</v>
      </c>
    </row>
    <row r="1947" spans="2:11" x14ac:dyDescent="0.35">
      <c r="B1947" s="5" t="str">
        <f t="shared" si="1300"/>
        <v>SPS1</v>
      </c>
      <c r="C1947" s="5" t="str">
        <f t="shared" si="1301"/>
        <v>CH</v>
      </c>
      <c r="D1947" t="s">
        <v>1970</v>
      </c>
      <c r="E1947" t="str">
        <f t="shared" si="1302"/>
        <v>Million</v>
      </c>
      <c r="F1947" s="1" cm="1">
        <f t="array" ref="F1947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47" s="1" cm="1">
        <f t="array" ref="G1947">SUMPRODUCT(("Var_Cap"=[1]OUT_TransportEnergyCons!$B$4:$B$10000)*1,("-"=[1]OUT_TransportEnergyCons!$C$4:$C$10000)*1,ISNUMBER(SEARCH("T_C*ICE*nga*s3",[1]OUT_TransportEnergyCons!$A$4:$A$10000))*1,[1]OUT_TransportEnergyCons!E$4:E$10000)</f>
        <v>1.5906384596943906E-4</v>
      </c>
      <c r="H1947" s="1" cm="1">
        <f t="array" ref="H1947">SUMPRODUCT(("Var_Cap"=[1]OUT_TransportEnergyCons!$B$4:$B$10000)*1,("-"=[1]OUT_TransportEnergyCons!$C$4:$C$10000)*1,ISNUMBER(SEARCH("T_C*ICE*nga*s3",[1]OUT_TransportEnergyCons!$A$4:$A$10000))*1,[1]OUT_TransportEnergyCons!F$4:F$10000)</f>
        <v>1.5943934457433956E-4</v>
      </c>
      <c r="I1947" s="1" cm="1">
        <f t="array" ref="I1947">SUMPRODUCT(("Var_Cap"=[1]OUT_TransportEnergyCons!$B$4:$B$10000)*1,("-"=[1]OUT_TransportEnergyCons!$C$4:$C$10000)*1,ISNUMBER(SEARCH("T_C*ICE*nga*s3",[1]OUT_TransportEnergyCons!$A$4:$A$10000))*1,[1]OUT_TransportEnergyCons!G$4:G$10000)</f>
        <v>1.6641022516358914E-5</v>
      </c>
      <c r="J1947" s="1" cm="1">
        <f t="array" ref="J1947">SUMPRODUCT(("Var_Cap"=[1]OUT_TransportEnergyCons!$B$4:$B$10000)*1,("-"=[1]OUT_TransportEnergyCons!$C$4:$C$10000)*1,ISNUMBER(SEARCH("T_C*ICE*nga*s3",[1]OUT_TransportEnergyCons!$A$4:$A$10000))*1,[1]OUT_TransportEnergyCons!H$4:H$10000)</f>
        <v>3.1363998949578634E-7</v>
      </c>
      <c r="K1947" s="1" cm="1">
        <f t="array" ref="K1947">SUMPRODUCT(("Var_Cap"=[1]OUT_TransportEnergyCons!$B$4:$B$10000)*1,("-"=[1]OUT_TransportEnergyCons!$C$4:$C$10000)*1,ISNUMBER(SEARCH("T_C*ICE*nga*s3",[1]OUT_TransportEnergyCons!$A$4:$A$10000))*1,[1]OUT_TransportEnergyCons!I$4:I$10000)</f>
        <v>0</v>
      </c>
    </row>
    <row r="1948" spans="2:11" x14ac:dyDescent="0.35">
      <c r="B1948" s="5" t="str">
        <f t="shared" si="1300"/>
        <v>SPS1</v>
      </c>
      <c r="C1948" s="5" t="str">
        <f t="shared" si="1301"/>
        <v>CH</v>
      </c>
      <c r="D1948" t="s">
        <v>1971</v>
      </c>
      <c r="E1948" t="str">
        <f t="shared" si="1302"/>
        <v>Million</v>
      </c>
      <c r="F1948" s="1" cm="1">
        <f t="array" ref="F1948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48" s="1" cm="1">
        <f t="array" ref="G1948">SUMPRODUCT(("Var_Cap"=[1]OUT_TransportEnergyCons!$B$4:$B$10000)*1,("-"=[1]OUT_TransportEnergyCons!$C$4:$C$10000)*1,ISNUMBER(SEARCH("T_C*ICE*nga*s4",[1]OUT_TransportEnergyCons!$A$4:$A$10000))*1,[1]OUT_TransportEnergyCons!E$4:E$10000)</f>
        <v>2.5348370614890455E-3</v>
      </c>
      <c r="H1948" s="1" cm="1">
        <f t="array" ref="H1948">SUMPRODUCT(("Var_Cap"=[1]OUT_TransportEnergyCons!$B$4:$B$10000)*1,("-"=[1]OUT_TransportEnergyCons!$C$4:$C$10000)*1,ISNUMBER(SEARCH("T_C*ICE*nga*s4",[1]OUT_TransportEnergyCons!$A$4:$A$10000))*1,[1]OUT_TransportEnergyCons!F$4:F$10000)</f>
        <v>2.3605702996527416E-3</v>
      </c>
      <c r="I1948" s="1" cm="1">
        <f t="array" ref="I1948">SUMPRODUCT(("Var_Cap"=[1]OUT_TransportEnergyCons!$B$4:$B$10000)*1,("-"=[1]OUT_TransportEnergyCons!$C$4:$C$10000)*1,ISNUMBER(SEARCH("T_C*ICE*nga*s4",[1]OUT_TransportEnergyCons!$A$4:$A$10000))*1,[1]OUT_TransportEnergyCons!G$4:G$10000)</f>
        <v>4.0726084311428542E-6</v>
      </c>
      <c r="J1948" s="1" cm="1">
        <f t="array" ref="J1948">SUMPRODUCT(("Var_Cap"=[1]OUT_TransportEnergyCons!$B$4:$B$10000)*1,("-"=[1]OUT_TransportEnergyCons!$C$4:$C$10000)*1,ISNUMBER(SEARCH("T_C*ICE*nga*s4",[1]OUT_TransportEnergyCons!$A$4:$A$10000))*1,[1]OUT_TransportEnergyCons!H$4:H$10000)</f>
        <v>3.5352964270440582E-7</v>
      </c>
      <c r="K1948" s="1" cm="1">
        <f t="array" ref="K1948">SUMPRODUCT(("Var_Cap"=[1]OUT_TransportEnergyCons!$B$4:$B$10000)*1,("-"=[1]OUT_TransportEnergyCons!$C$4:$C$10000)*1,ISNUMBER(SEARCH("T_C*ICE*nga*s4",[1]OUT_TransportEnergyCons!$A$4:$A$10000))*1,[1]OUT_TransportEnergyCons!I$4:I$10000)</f>
        <v>0</v>
      </c>
    </row>
    <row r="1949" spans="2:11" x14ac:dyDescent="0.35">
      <c r="B1949" s="5" t="str">
        <f>B1948</f>
        <v>SPS1</v>
      </c>
      <c r="C1949" s="5" t="str">
        <f>C1948</f>
        <v>CH</v>
      </c>
      <c r="D1949" s="2" t="s">
        <v>1974</v>
      </c>
      <c r="E1949" s="2" t="s">
        <v>2000</v>
      </c>
      <c r="F1949" s="3">
        <f>SUM(F1950:F1972)</f>
        <v>5.7131414860307483</v>
      </c>
      <c r="G1949" s="3">
        <f t="shared" ref="G1949:K1949" si="1303">SUM(G1950:G1972)</f>
        <v>5.6806462520499821</v>
      </c>
      <c r="H1949" s="3">
        <f t="shared" si="1303"/>
        <v>5.8292458069401007</v>
      </c>
      <c r="I1949" s="3">
        <f t="shared" si="1303"/>
        <v>6.6980428999374118</v>
      </c>
      <c r="J1949" s="3">
        <f t="shared" si="1303"/>
        <v>7.246623098559172</v>
      </c>
      <c r="K1949" s="3">
        <f t="shared" si="1303"/>
        <v>7.7140279988443563</v>
      </c>
    </row>
    <row r="1950" spans="2:11" x14ac:dyDescent="0.35">
      <c r="B1950" s="5" t="str">
        <f t="shared" ref="B1950:B1972" si="1304">B1949</f>
        <v>SPS1</v>
      </c>
      <c r="C1950" s="5" t="str">
        <f t="shared" ref="C1950:C1972" si="1305">C1949</f>
        <v>CH</v>
      </c>
      <c r="D1950" t="s">
        <v>1979</v>
      </c>
      <c r="E1950" t="s">
        <v>2000</v>
      </c>
      <c r="F1950" s="1" cm="1">
        <f t="array" ref="F1950">(SUMPRODUCT(("Var_Cap"=[1]OUT_TransportEnergyCons!$B$4:$B$10000)*1,ISNUMBER(SEARCH("T_B_u*bev*ext",[1]OUT_TransportEnergyCons!$A$4:$A$10000))*1,[1]OUT_TransportEnergyCons!D$4:D$10000))*1000</f>
        <v>3.7789555006180503E-2</v>
      </c>
      <c r="G1950" s="1" cm="1">
        <f t="array" ref="G1950">(SUMPRODUCT(("Var_Cap"=[1]OUT_TransportEnergyCons!$B$4:$B$10000)*1,ISNUMBER(SEARCH("T_B_u*bev*ext",[1]OUT_TransportEnergyCons!$A$4:$A$10000))*1,[1]OUT_TransportEnergyCons!E$4:E$10000))*1000</f>
        <v>3.0231644004944401E-2</v>
      </c>
      <c r="H1950" s="1" cm="1">
        <f t="array" ref="H1950">(SUMPRODUCT(("Var_Cap"=[1]OUT_TransportEnergyCons!$B$4:$B$10000)*1,ISNUMBER(SEARCH("T_B_u*bev*ext",[1]OUT_TransportEnergyCons!$A$4:$A$10000))*1,[1]OUT_TransportEnergyCons!F$4:F$10000))*1000</f>
        <v>1.8894777503090199E-2</v>
      </c>
      <c r="I1950" s="1" cm="1">
        <f t="array" ref="I1950">(SUMPRODUCT(("Var_Cap"=[1]OUT_TransportEnergyCons!$B$4:$B$10000)*1,ISNUMBER(SEARCH("T_B_u*bev*ext",[1]OUT_TransportEnergyCons!$A$4:$A$10000))*1,[1]OUT_TransportEnergyCons!G$4:G$10000))*1000</f>
        <v>0</v>
      </c>
      <c r="J1950" s="1" cm="1">
        <f t="array" ref="J1950">(SUMPRODUCT(("Var_Cap"=[1]OUT_TransportEnergyCons!$B$4:$B$10000)*1,ISNUMBER(SEARCH("T_B_u*bev*ext",[1]OUT_TransportEnergyCons!$A$4:$A$10000))*1,[1]OUT_TransportEnergyCons!H$4:H$10000))*1000</f>
        <v>0</v>
      </c>
      <c r="K1950" s="1" cm="1">
        <f t="array" ref="K1950">(SUMPRODUCT(("Var_Cap"=[1]OUT_TransportEnergyCons!$B$4:$B$10000)*1,ISNUMBER(SEARCH("T_B_u*bev*ext",[1]OUT_TransportEnergyCons!$A$4:$A$10000))*1,[1]OUT_TransportEnergyCons!I$4:I$10000))*1000</f>
        <v>0</v>
      </c>
    </row>
    <row r="1951" spans="2:11" x14ac:dyDescent="0.35">
      <c r="B1951" s="5" t="str">
        <f t="shared" si="1304"/>
        <v>SPS1</v>
      </c>
      <c r="C1951" s="5" t="str">
        <f t="shared" si="1305"/>
        <v>CH</v>
      </c>
      <c r="D1951" t="s">
        <v>1980</v>
      </c>
      <c r="E1951" t="s">
        <v>2000</v>
      </c>
      <c r="F1951" s="1" cm="1">
        <f t="array" ref="F1951">(SUMPRODUCT(("Var_Cap"=[1]OUT_TransportEnergyCons!$B$4:$B$10000)*1,ISNUMBER(SEARCH("T_B_u*bev*s1",[1]OUT_TransportEnergyCons!$A$4:$A$10000))*1,[1]OUT_TransportEnergyCons!D$4:D$10000))*1000</f>
        <v>3.02390998593531E-5</v>
      </c>
      <c r="G1951" s="1" cm="1">
        <f t="array" ref="G1951">(SUMPRODUCT(("Var_Cap"=[1]OUT_TransportEnergyCons!$B$4:$B$10000)*1,ISNUMBER(SEARCH("T_B_u*bev*s1",[1]OUT_TransportEnergyCons!$A$4:$A$10000))*1,[1]OUT_TransportEnergyCons!E$4:E$10000))*1000</f>
        <v>7.0648086884218739E-3</v>
      </c>
      <c r="H1951" s="1" cm="1">
        <f t="array" ref="H1951">(SUMPRODUCT(("Var_Cap"=[1]OUT_TransportEnergyCons!$B$4:$B$10000)*1,ISNUMBER(SEARCH("T_B_u*bev*s1",[1]OUT_TransportEnergyCons!$A$4:$A$10000))*1,[1]OUT_TransportEnergyCons!F$4:F$10000))*1000</f>
        <v>1.3967648107078054E-2</v>
      </c>
      <c r="I1951" s="1" cm="1">
        <f t="array" ref="I1951">(SUMPRODUCT(("Var_Cap"=[1]OUT_TransportEnergyCons!$B$4:$B$10000)*1,ISNUMBER(SEARCH("T_B_u*bev*s1",[1]OUT_TransportEnergyCons!$A$4:$A$10000))*1,[1]OUT_TransportEnergyCons!G$4:G$10000))*1000</f>
        <v>1.9987955660108137</v>
      </c>
      <c r="J1951" s="1" cm="1">
        <f t="array" ref="J1951">(SUMPRODUCT(("Var_Cap"=[1]OUT_TransportEnergyCons!$B$4:$B$10000)*1,ISNUMBER(SEARCH("T_B_u*bev*s1",[1]OUT_TransportEnergyCons!$A$4:$A$10000))*1,[1]OUT_TransportEnergyCons!H$4:H$10000))*1000</f>
        <v>2.8772219012711679</v>
      </c>
      <c r="K1951" s="1" cm="1">
        <f t="array" ref="K1951">(SUMPRODUCT(("Var_Cap"=[1]OUT_TransportEnergyCons!$B$4:$B$10000)*1,ISNUMBER(SEARCH("T_B_u*bev*s1",[1]OUT_TransportEnergyCons!$A$4:$A$10000))*1,[1]OUT_TransportEnergyCons!I$4:I$10000))*1000</f>
        <v>3.0403144261700561</v>
      </c>
    </row>
    <row r="1952" spans="2:11" x14ac:dyDescent="0.35">
      <c r="B1952" s="5" t="str">
        <f t="shared" si="1304"/>
        <v>SPS1</v>
      </c>
      <c r="C1952" s="5" t="str">
        <f t="shared" si="1305"/>
        <v>CH</v>
      </c>
      <c r="D1952" t="s">
        <v>1981</v>
      </c>
      <c r="E1952" t="s">
        <v>2000</v>
      </c>
      <c r="F1952" s="1" cm="1">
        <f t="array" ref="F1952">(SUMPRODUCT(("Var_Cap"=[1]OUT_TransportEnergyCons!$B$4:$B$10000)*1,ISNUMBER(SEARCH("T_B_u*bev*s2",[1]OUT_TransportEnergyCons!$A$4:$A$10000))*1,[1]OUT_TransportEnergyCons!D$4:D$10000))*1000</f>
        <v>7.8302879411518509E-3</v>
      </c>
      <c r="G1952" s="1" cm="1">
        <f t="array" ref="G1952">(SUMPRODUCT(("Var_Cap"=[1]OUT_TransportEnergyCons!$B$4:$B$10000)*1,ISNUMBER(SEARCH("T_B_u*bev*s2",[1]OUT_TransportEnergyCons!$A$4:$A$10000))*1,[1]OUT_TransportEnergyCons!E$4:E$10000))*1000</f>
        <v>1.2073694267559899E-2</v>
      </c>
      <c r="H1952" s="1" cm="1">
        <f t="array" ref="H1952">(SUMPRODUCT(("Var_Cap"=[1]OUT_TransportEnergyCons!$B$4:$B$10000)*1,ISNUMBER(SEARCH("T_B_u*bev*s2",[1]OUT_TransportEnergyCons!$A$4:$A$10000))*1,[1]OUT_TransportEnergyCons!F$4:F$10000))*1000</f>
        <v>1.9078860939225457E-2</v>
      </c>
      <c r="I1952" s="1" cm="1">
        <f t="array" ref="I1952">(SUMPRODUCT(("Var_Cap"=[1]OUT_TransportEnergyCons!$B$4:$B$10000)*1,ISNUMBER(SEARCH("T_B_u*bev*s2",[1]OUT_TransportEnergyCons!$A$4:$A$10000))*1,[1]OUT_TransportEnergyCons!G$4:G$10000))*1000</f>
        <v>0.74830649965818941</v>
      </c>
      <c r="J1952" s="1" cm="1">
        <f t="array" ref="J1952">(SUMPRODUCT(("Var_Cap"=[1]OUT_TransportEnergyCons!$B$4:$B$10000)*1,ISNUMBER(SEARCH("T_B_u*bev*s2",[1]OUT_TransportEnergyCons!$A$4:$A$10000))*1,[1]OUT_TransportEnergyCons!H$4:H$10000))*1000</f>
        <v>0.81380833181511203</v>
      </c>
      <c r="K1952" s="1" cm="1">
        <f t="array" ref="K1952">(SUMPRODUCT(("Var_Cap"=[1]OUT_TransportEnergyCons!$B$4:$B$10000)*1,ISNUMBER(SEARCH("T_B_u*bev*s2",[1]OUT_TransportEnergyCons!$A$4:$A$10000))*1,[1]OUT_TransportEnergyCons!I$4:I$10000))*1000</f>
        <v>0.87038108484012822</v>
      </c>
    </row>
    <row r="1953" spans="2:11" x14ac:dyDescent="0.35">
      <c r="B1953" s="5" t="str">
        <f t="shared" si="1304"/>
        <v>SPS1</v>
      </c>
      <c r="C1953" s="5" t="str">
        <f t="shared" si="1305"/>
        <v>CH</v>
      </c>
      <c r="D1953" t="s">
        <v>1982</v>
      </c>
      <c r="E1953" t="s">
        <v>2000</v>
      </c>
      <c r="F1953" s="1" cm="1">
        <f t="array" ref="F1953">(SUMPRODUCT(("Var_Cap"=[1]OUT_TransportEnergyCons!$B$4:$B$10000)*1,ISNUMBER(SEARCH("T_B_u*bev*s3",[1]OUT_TransportEnergyCons!$A$4:$A$10000))*1,[1]OUT_TransportEnergyCons!D$4:D$10000))*1000</f>
        <v>2.1374574442129899E-2</v>
      </c>
      <c r="G1953" s="1" cm="1">
        <f t="array" ref="G1953">(SUMPRODUCT(("Var_Cap"=[1]OUT_TransportEnergyCons!$B$4:$B$10000)*1,ISNUMBER(SEARCH("T_B_u*bev*s3",[1]OUT_TransportEnergyCons!$A$4:$A$10000))*1,[1]OUT_TransportEnergyCons!E$4:E$10000))*1000</f>
        <v>3.4964524795050168E-2</v>
      </c>
      <c r="H1953" s="1" cm="1">
        <f t="array" ref="H1953">(SUMPRODUCT(("Var_Cap"=[1]OUT_TransportEnergyCons!$B$4:$B$10000)*1,ISNUMBER(SEARCH("T_B_u*bev*s3",[1]OUT_TransportEnergyCons!$A$4:$A$10000))*1,[1]OUT_TransportEnergyCons!F$4:F$10000))*1000</f>
        <v>4.0395810810165689E-2</v>
      </c>
      <c r="I1953" s="1" cm="1">
        <f t="array" ref="I1953">(SUMPRODUCT(("Var_Cap"=[1]OUT_TransportEnergyCons!$B$4:$B$10000)*1,ISNUMBER(SEARCH("T_B_u*bev*s3",[1]OUT_TransportEnergyCons!$A$4:$A$10000))*1,[1]OUT_TransportEnergyCons!G$4:G$10000))*1000</f>
        <v>3.5244364406097897</v>
      </c>
      <c r="J1953" s="1" cm="1">
        <f t="array" ref="J1953">(SUMPRODUCT(("Var_Cap"=[1]OUT_TransportEnergyCons!$B$4:$B$10000)*1,ISNUMBER(SEARCH("T_B_u*bev*s3",[1]OUT_TransportEnergyCons!$A$4:$A$10000))*1,[1]OUT_TransportEnergyCons!H$4:H$10000))*1000</f>
        <v>3.5553233604161001</v>
      </c>
      <c r="K1953" s="1" cm="1">
        <f t="array" ref="K1953">(SUMPRODUCT(("Var_Cap"=[1]OUT_TransportEnergyCons!$B$4:$B$10000)*1,ISNUMBER(SEARCH("T_B_u*bev*s3",[1]OUT_TransportEnergyCons!$A$4:$A$10000))*1,[1]OUT_TransportEnergyCons!I$4:I$10000))*1000</f>
        <v>3.8031680114739399</v>
      </c>
    </row>
    <row r="1954" spans="2:11" x14ac:dyDescent="0.35">
      <c r="B1954" s="5" t="str">
        <f t="shared" si="1304"/>
        <v>SPS1</v>
      </c>
      <c r="C1954" s="5" t="str">
        <f t="shared" si="1305"/>
        <v>CH</v>
      </c>
      <c r="D1954" t="s">
        <v>1983</v>
      </c>
      <c r="E1954" t="s">
        <v>2000</v>
      </c>
      <c r="F1954" s="1" cm="1">
        <f t="array" ref="F1954">(SUMPRODUCT(("Var_Cap"=[1]OUT_TransportEnergyCons!$B$4:$B$10000)*1,ISNUMBER(SEARCH("T_B_u*bev*s4",[1]OUT_TransportEnergyCons!$A$4:$A$10000))*1,[1]OUT_TransportEnergyCons!D$4:D$10000))*1000</f>
        <v>2.9961176159862599E-4</v>
      </c>
      <c r="G1954" s="1" cm="1">
        <f t="array" ref="G1954">(SUMPRODUCT(("Var_Cap"=[1]OUT_TransportEnergyCons!$B$4:$B$10000)*1,ISNUMBER(SEARCH("T_B_u*bev*s4",[1]OUT_TransportEnergyCons!$A$4:$A$10000))*1,[1]OUT_TransportEnergyCons!E$4:E$10000))*1000</f>
        <v>3.2440675443638794E-4</v>
      </c>
      <c r="H1954" s="1" cm="1">
        <f t="array" ref="H1954">(SUMPRODUCT(("Var_Cap"=[1]OUT_TransportEnergyCons!$B$4:$B$10000)*1,ISNUMBER(SEARCH("T_B_u*bev*s4",[1]OUT_TransportEnergyCons!$A$4:$A$10000))*1,[1]OUT_TransportEnergyCons!F$4:F$10000))*1000</f>
        <v>5.1430260747999503E-4</v>
      </c>
      <c r="I1954" s="1" cm="1">
        <f t="array" ref="I1954">(SUMPRODUCT(("Var_Cap"=[1]OUT_TransportEnergyCons!$B$4:$B$10000)*1,ISNUMBER(SEARCH("T_B_u*bev*s4",[1]OUT_TransportEnergyCons!$A$4:$A$10000))*1,[1]OUT_TransportEnergyCons!G$4:G$10000))*1000</f>
        <v>0.42635759807968493</v>
      </c>
      <c r="J1954" s="1" cm="1">
        <f t="array" ref="J1954">(SUMPRODUCT(("Var_Cap"=[1]OUT_TransportEnergyCons!$B$4:$B$10000)*1,ISNUMBER(SEARCH("T_B_u*bev*s4",[1]OUT_TransportEnergyCons!$A$4:$A$10000))*1,[1]OUT_TransportEnergyCons!H$4:H$10000))*1000</f>
        <v>2.8998993433651196E-4</v>
      </c>
      <c r="K1954" s="1" cm="1">
        <f t="array" ref="K1954">(SUMPRODUCT(("Var_Cap"=[1]OUT_TransportEnergyCons!$B$4:$B$10000)*1,ISNUMBER(SEARCH("T_B_u*bev*s4",[1]OUT_TransportEnergyCons!$A$4:$A$10000))*1,[1]OUT_TransportEnergyCons!I$4:I$10000))*1000</f>
        <v>1.3329927347099701E-4</v>
      </c>
    </row>
    <row r="1955" spans="2:11" x14ac:dyDescent="0.35">
      <c r="B1955" s="5" t="str">
        <f t="shared" si="1304"/>
        <v>SPS1</v>
      </c>
      <c r="C1955" s="5" t="str">
        <f t="shared" si="1305"/>
        <v>CH</v>
      </c>
      <c r="D1955" t="s">
        <v>1984</v>
      </c>
      <c r="E1955" t="s">
        <v>2000</v>
      </c>
      <c r="F1955" s="1" cm="1">
        <f t="array" ref="F1955">(SUMPRODUCT(("Var_Cap"=[1]OUT_TransportEnergyCons!$B$4:$B$10000)*1,ISNUMBER(SEARCH("T_B_u*h2o*s1",[1]OUT_TransportEnergyCons!$A$4:$A$10000))*1,[1]OUT_TransportEnergyCons!D$4:D$10000))*1000</f>
        <v>0</v>
      </c>
      <c r="G1955" s="1" cm="1">
        <f t="array" ref="G1955">(SUMPRODUCT(("Var_Cap"=[1]OUT_TransportEnergyCons!$B$4:$B$10000)*1,ISNUMBER(SEARCH("T_B_u*h2o*s1",[1]OUT_TransportEnergyCons!$A$4:$A$10000))*1,[1]OUT_TransportEnergyCons!E$4:E$10000))*1000</f>
        <v>0</v>
      </c>
      <c r="H1955" s="1" cm="1">
        <f t="array" ref="H1955">(SUMPRODUCT(("Var_Cap"=[1]OUT_TransportEnergyCons!$B$4:$B$10000)*1,ISNUMBER(SEARCH("T_B_u*h2o*s1",[1]OUT_TransportEnergyCons!$A$4:$A$10000))*1,[1]OUT_TransportEnergyCons!F$4:F$10000))*1000</f>
        <v>0</v>
      </c>
      <c r="I1955" s="1" cm="1">
        <f t="array" ref="I1955">(SUMPRODUCT(("Var_Cap"=[1]OUT_TransportEnergyCons!$B$4:$B$10000)*1,ISNUMBER(SEARCH("T_B_u*h2o*s1",[1]OUT_TransportEnergyCons!$A$4:$A$10000))*1,[1]OUT_TransportEnergyCons!G$4:G$10000))*1000</f>
        <v>3.5884030317278701E-5</v>
      </c>
      <c r="J1955" s="1" cm="1">
        <f t="array" ref="J1955">(SUMPRODUCT(("Var_Cap"=[1]OUT_TransportEnergyCons!$B$4:$B$10000)*1,ISNUMBER(SEARCH("T_B_u*h2o*s1",[1]OUT_TransportEnergyCons!$A$4:$A$10000))*1,[1]OUT_TransportEnergyCons!H$4:H$10000))*1000</f>
        <v>3.9715128283523603E-5</v>
      </c>
      <c r="K1955" s="1" cm="1">
        <f t="array" ref="K1955">(SUMPRODUCT(("Var_Cap"=[1]OUT_TransportEnergyCons!$B$4:$B$10000)*1,ISNUMBER(SEARCH("T_B_u*h2o*s1",[1]OUT_TransportEnergyCons!$A$4:$A$10000))*1,[1]OUT_TransportEnergyCons!I$4:I$10000))*1000</f>
        <v>2.3771473725044198E-5</v>
      </c>
    </row>
    <row r="1956" spans="2:11" x14ac:dyDescent="0.35">
      <c r="B1956" s="5" t="str">
        <f t="shared" si="1304"/>
        <v>SPS1</v>
      </c>
      <c r="C1956" s="5" t="str">
        <f t="shared" si="1305"/>
        <v>CH</v>
      </c>
      <c r="D1956" t="s">
        <v>1985</v>
      </c>
      <c r="E1956" t="s">
        <v>2000</v>
      </c>
      <c r="F1956" s="1" cm="1">
        <f t="array" ref="F1956">(SUMPRODUCT(("Var_Cap"=[1]OUT_TransportEnergyCons!$B$4:$B$10000)*1,ISNUMBER(SEARCH("T_B_u*h2o*s2",[1]OUT_TransportEnergyCons!$A$4:$A$10000))*1,[1]OUT_TransportEnergyCons!D$4:D$10000))*1000</f>
        <v>0</v>
      </c>
      <c r="G1956" s="1" cm="1">
        <f t="array" ref="G1956">(SUMPRODUCT(("Var_Cap"=[1]OUT_TransportEnergyCons!$B$4:$B$10000)*1,ISNUMBER(SEARCH("T_B_u*h2o*s2",[1]OUT_TransportEnergyCons!$A$4:$A$10000))*1,[1]OUT_TransportEnergyCons!E$4:E$10000))*1000</f>
        <v>0</v>
      </c>
      <c r="H1956" s="1" cm="1">
        <f t="array" ref="H1956">(SUMPRODUCT(("Var_Cap"=[1]OUT_TransportEnergyCons!$B$4:$B$10000)*1,ISNUMBER(SEARCH("T_B_u*h2o*s2",[1]OUT_TransportEnergyCons!$A$4:$A$10000))*1,[1]OUT_TransportEnergyCons!F$4:F$10000))*1000</f>
        <v>0</v>
      </c>
      <c r="I1956" s="1" cm="1">
        <f t="array" ref="I1956">(SUMPRODUCT(("Var_Cap"=[1]OUT_TransportEnergyCons!$B$4:$B$10000)*1,ISNUMBER(SEARCH("T_B_u*h2o*s2",[1]OUT_TransportEnergyCons!$A$4:$A$10000))*1,[1]OUT_TransportEnergyCons!G$4:G$10000))*1000</f>
        <v>1.1180950372993101E-5</v>
      </c>
      <c r="J1956" s="1" cm="1">
        <f t="array" ref="J1956">(SUMPRODUCT(("Var_Cap"=[1]OUT_TransportEnergyCons!$B$4:$B$10000)*1,ISNUMBER(SEARCH("T_B_u*h2o*s2",[1]OUT_TransportEnergyCons!$A$4:$A$10000))*1,[1]OUT_TransportEnergyCons!H$4:H$10000))*1000</f>
        <v>1.98039143395112E-6</v>
      </c>
      <c r="K1956" s="1" cm="1">
        <f t="array" ref="K1956">(SUMPRODUCT(("Var_Cap"=[1]OUT_TransportEnergyCons!$B$4:$B$10000)*1,ISNUMBER(SEARCH("T_B_u*h2o*s2",[1]OUT_TransportEnergyCons!$A$4:$A$10000))*1,[1]OUT_TransportEnergyCons!I$4:I$10000))*1000</f>
        <v>0</v>
      </c>
    </row>
    <row r="1957" spans="2:11" x14ac:dyDescent="0.35">
      <c r="B1957" s="5" t="str">
        <f t="shared" si="1304"/>
        <v>SPS1</v>
      </c>
      <c r="C1957" s="5" t="str">
        <f t="shared" si="1305"/>
        <v>CH</v>
      </c>
      <c r="D1957" t="s">
        <v>1986</v>
      </c>
      <c r="E1957" t="s">
        <v>2000</v>
      </c>
      <c r="F1957" s="1" cm="1">
        <f t="array" ref="F1957">(SUMPRODUCT(("Var_Cap"=[1]OUT_TransportEnergyCons!$B$4:$B$10000)*1,ISNUMBER(SEARCH("T_B_u*h2o*s3",[1]OUT_TransportEnergyCons!$A$4:$A$10000))*1,[1]OUT_TransportEnergyCons!D$4:D$10000))*1000</f>
        <v>0</v>
      </c>
      <c r="G1957" s="1" cm="1">
        <f t="array" ref="G1957">(SUMPRODUCT(("Var_Cap"=[1]OUT_TransportEnergyCons!$B$4:$B$10000)*1,ISNUMBER(SEARCH("T_B_u*h2o*s3",[1]OUT_TransportEnergyCons!$A$4:$A$10000))*1,[1]OUT_TransportEnergyCons!E$4:E$10000))*1000</f>
        <v>0</v>
      </c>
      <c r="H1957" s="1" cm="1">
        <f t="array" ref="H1957">(SUMPRODUCT(("Var_Cap"=[1]OUT_TransportEnergyCons!$B$4:$B$10000)*1,ISNUMBER(SEARCH("T_B_u*h2o*s3",[1]OUT_TransportEnergyCons!$A$4:$A$10000))*1,[1]OUT_TransportEnergyCons!F$4:F$10000))*1000</f>
        <v>0</v>
      </c>
      <c r="I1957" s="1" cm="1">
        <f t="array" ref="I1957">(SUMPRODUCT(("Var_Cap"=[1]OUT_TransportEnergyCons!$B$4:$B$10000)*1,ISNUMBER(SEARCH("T_B_u*h2o*s3",[1]OUT_TransportEnergyCons!$A$4:$A$10000))*1,[1]OUT_TransportEnergyCons!G$4:G$10000))*1000</f>
        <v>0</v>
      </c>
      <c r="J1957" s="1" cm="1">
        <f t="array" ref="J1957">(SUMPRODUCT(("Var_Cap"=[1]OUT_TransportEnergyCons!$B$4:$B$10000)*1,ISNUMBER(SEARCH("T_B_u*h2o*s3",[1]OUT_TransportEnergyCons!$A$4:$A$10000))*1,[1]OUT_TransportEnergyCons!H$4:H$10000))*1000</f>
        <v>-1.0175380996598399E-5</v>
      </c>
      <c r="K1957" s="1" cm="1">
        <f t="array" ref="K1957">(SUMPRODUCT(("Var_Cap"=[1]OUT_TransportEnergyCons!$B$4:$B$10000)*1,ISNUMBER(SEARCH("T_B_u*h2o*s3",[1]OUT_TransportEnergyCons!$A$4:$A$10000))*1,[1]OUT_TransportEnergyCons!I$4:I$10000))*1000</f>
        <v>0</v>
      </c>
    </row>
    <row r="1958" spans="2:11" x14ac:dyDescent="0.35">
      <c r="B1958" s="5" t="str">
        <f t="shared" si="1304"/>
        <v>SPS1</v>
      </c>
      <c r="C1958" s="5" t="str">
        <f t="shared" si="1305"/>
        <v>CH</v>
      </c>
      <c r="D1958" t="s">
        <v>1987</v>
      </c>
      <c r="E1958" t="s">
        <v>2000</v>
      </c>
      <c r="F1958" s="1" cm="1">
        <f t="array" ref="F1958">(SUMPRODUCT(("Var_Cap"=[1]OUT_TransportEnergyCons!$B$4:$B$10000)*1,ISNUMBER(SEARCH("T_B_u*h2o*s4",[1]OUT_TransportEnergyCons!$A$4:$A$10000))*1,[1]OUT_TransportEnergyCons!D$4:D$10000))*1000</f>
        <v>0</v>
      </c>
      <c r="G1958" s="1" cm="1">
        <f t="array" ref="G1958">(SUMPRODUCT(("Var_Cap"=[1]OUT_TransportEnergyCons!$B$4:$B$10000)*1,ISNUMBER(SEARCH("T_B_u*h2o*s4",[1]OUT_TransportEnergyCons!$A$4:$A$10000))*1,[1]OUT_TransportEnergyCons!E$4:E$10000))*1000</f>
        <v>0</v>
      </c>
      <c r="H1958" s="1" cm="1">
        <f t="array" ref="H1958">(SUMPRODUCT(("Var_Cap"=[1]OUT_TransportEnergyCons!$B$4:$B$10000)*1,ISNUMBER(SEARCH("T_B_u*h2o*s4",[1]OUT_TransportEnergyCons!$A$4:$A$10000))*1,[1]OUT_TransportEnergyCons!F$4:F$10000))*1000</f>
        <v>0</v>
      </c>
      <c r="I1958" s="1" cm="1">
        <f t="array" ref="I1958">(SUMPRODUCT(("Var_Cap"=[1]OUT_TransportEnergyCons!$B$4:$B$10000)*1,ISNUMBER(SEARCH("T_B_u*h2o*s4",[1]OUT_TransportEnergyCons!$A$4:$A$10000))*1,[1]OUT_TransportEnergyCons!G$4:G$10000))*1000</f>
        <v>0</v>
      </c>
      <c r="J1958" s="1" cm="1">
        <f t="array" ref="J1958">(SUMPRODUCT(("Var_Cap"=[1]OUT_TransportEnergyCons!$B$4:$B$10000)*1,ISNUMBER(SEARCH("T_B_u*h2o*s4",[1]OUT_TransportEnergyCons!$A$4:$A$10000))*1,[1]OUT_TransportEnergyCons!H$4:H$10000))*1000</f>
        <v>-1.01775950831076E-5</v>
      </c>
      <c r="K1958" s="1" cm="1">
        <f t="array" ref="K1958">(SUMPRODUCT(("Var_Cap"=[1]OUT_TransportEnergyCons!$B$4:$B$10000)*1,ISNUMBER(SEARCH("T_B_u*h2o*s4",[1]OUT_TransportEnergyCons!$A$4:$A$10000))*1,[1]OUT_TransportEnergyCons!I$4:I$10000))*1000</f>
        <v>-7.8727603352273488E-6</v>
      </c>
    </row>
    <row r="1959" spans="2:11" x14ac:dyDescent="0.35">
      <c r="B1959" s="5" t="str">
        <f t="shared" si="1304"/>
        <v>SPS1</v>
      </c>
      <c r="C1959" s="5" t="str">
        <f t="shared" si="1305"/>
        <v>CH</v>
      </c>
      <c r="D1959" t="s">
        <v>1988</v>
      </c>
      <c r="E1959" t="s">
        <v>2000</v>
      </c>
      <c r="F1959" s="1" cm="1">
        <f t="array" ref="F1959">(SUMPRODUCT(("Var_Cap"=[1]OUT_TransportEnergyCons!$B$4:$B$10000)*1,ISNUMBER(SEARCH("T_B_u*hyb*DSL*s1",[1]OUT_TransportEnergyCons!$A$4:$A$10000))*1,[1]OUT_TransportEnergyCons!D$4:D$10000))*1000</f>
        <v>0</v>
      </c>
      <c r="G1959" s="1" cm="1">
        <f t="array" ref="G1959">(SUMPRODUCT(("Var_Cap"=[1]OUT_TransportEnergyCons!$B$4:$B$10000)*1,ISNUMBER(SEARCH("T_B_u*hyb*DSL*s1",[1]OUT_TransportEnergyCons!$A$4:$A$10000))*1,[1]OUT_TransportEnergyCons!E$4:E$10000))*1000</f>
        <v>0.16657532790917301</v>
      </c>
      <c r="H1959" s="1" cm="1">
        <f t="array" ref="H1959">(SUMPRODUCT(("Var_Cap"=[1]OUT_TransportEnergyCons!$B$4:$B$10000)*1,ISNUMBER(SEARCH("T_B_u*hyb*DSL*s1",[1]OUT_TransportEnergyCons!$A$4:$A$10000))*1,[1]OUT_TransportEnergyCons!F$4:F$10000))*1000</f>
        <v>0.16745231371911901</v>
      </c>
      <c r="I1959" s="1" cm="1">
        <f t="array" ref="I1959">(SUMPRODUCT(("Var_Cap"=[1]OUT_TransportEnergyCons!$B$4:$B$10000)*1,ISNUMBER(SEARCH("T_B_u*hyb*DSL*s1",[1]OUT_TransportEnergyCons!$A$4:$A$10000))*1,[1]OUT_TransportEnergyCons!G$4:G$10000))*1000</f>
        <v>3.0063006698313223E-7</v>
      </c>
      <c r="J1959" s="1" cm="1">
        <f t="array" ref="J1959">(SUMPRODUCT(("Var_Cap"=[1]OUT_TransportEnergyCons!$B$4:$B$10000)*1,ISNUMBER(SEARCH("T_B_u*hyb*DSL*s1",[1]OUT_TransportEnergyCons!$A$4:$A$10000))*1,[1]OUT_TransportEnergyCons!H$4:H$10000))*1000</f>
        <v>-5.1426526577780006E-7</v>
      </c>
      <c r="K1959" s="1" cm="1">
        <f t="array" ref="K1959">(SUMPRODUCT(("Var_Cap"=[1]OUT_TransportEnergyCons!$B$4:$B$10000)*1,ISNUMBER(SEARCH("T_B_u*hyb*DSL*s1",[1]OUT_TransportEnergyCons!$A$4:$A$10000))*1,[1]OUT_TransportEnergyCons!I$4:I$10000))*1000</f>
        <v>2.4576674262963201E-6</v>
      </c>
    </row>
    <row r="1960" spans="2:11" x14ac:dyDescent="0.35">
      <c r="B1960" s="5" t="str">
        <f t="shared" si="1304"/>
        <v>SPS1</v>
      </c>
      <c r="C1960" s="5" t="str">
        <f t="shared" si="1305"/>
        <v>CH</v>
      </c>
      <c r="D1960" t="s">
        <v>1989</v>
      </c>
      <c r="E1960" t="s">
        <v>2000</v>
      </c>
      <c r="F1960" s="1" cm="1">
        <f t="array" ref="F1960">(SUMPRODUCT(("Var_Cap"=[1]OUT_TransportEnergyCons!$B$4:$B$10000)*1,ISNUMBER(SEARCH("T_B_u*hyb*DSL*s2",[1]OUT_TransportEnergyCons!$A$4:$A$10000))*1,[1]OUT_TransportEnergyCons!D$4:D$10000))*1000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(SUMPRODUCT(("Var_Cap"=[1]OUT_TransportEnergyCons!$B$4:$B$10000)*1,ISNUMBER(SEARCH("T_B_u*hyb*DSL*s2",[1]OUT_TransportEnergyCons!$A$4:$A$10000))*1,[1]OUT_TransportEnergyCons!E$4:E$10000))*1000</f>
        <v>6.8227567722157904E-4</v>
      </c>
      <c r="H1960" s="1" cm="1">
        <f t="array" ref="H1960">(SUMPRODUCT(("Var_Cap"=[1]OUT_TransportEnergyCons!$B$4:$B$10000)*1,ISNUMBER(SEARCH("T_B_u*hyb*DSL*s2",[1]OUT_TransportEnergyCons!$A$4:$A$10000))*1,[1]OUT_TransportEnergyCons!F$4:F$10000))*1000</f>
        <v>9.7548495921300296E-4</v>
      </c>
      <c r="I1960" s="1" cm="1">
        <f t="array" ref="I1960">(SUMPRODUCT(("Var_Cap"=[1]OUT_TransportEnergyCons!$B$4:$B$10000)*1,ISNUMBER(SEARCH("T_B_u*hyb*DSL*s2",[1]OUT_TransportEnergyCons!$A$4:$A$10000))*1,[1]OUT_TransportEnergyCons!G$4:G$10000))*1000</f>
        <v>-6.9654627216159203E-6</v>
      </c>
      <c r="J1960" s="1" cm="1">
        <f t="array" ref="J1960">(SUMPRODUCT(("Var_Cap"=[1]OUT_TransportEnergyCons!$B$4:$B$10000)*1,ISNUMBER(SEARCH("T_B_u*hyb*DSL*s2",[1]OUT_TransportEnergyCons!$A$4:$A$10000))*1,[1]OUT_TransportEnergyCons!H$4:H$10000))*1000</f>
        <v>-1.40845882581481E-5</v>
      </c>
      <c r="K1960" s="1" cm="1">
        <f t="array" ref="K1960">(SUMPRODUCT(("Var_Cap"=[1]OUT_TransportEnergyCons!$B$4:$B$10000)*1,ISNUMBER(SEARCH("T_B_u*hyb*DSL*s2",[1]OUT_TransportEnergyCons!$A$4:$A$10000))*1,[1]OUT_TransportEnergyCons!I$4:I$10000))*1000</f>
        <v>0</v>
      </c>
    </row>
    <row r="1961" spans="2:11" x14ac:dyDescent="0.35">
      <c r="B1961" s="5" t="str">
        <f t="shared" si="1304"/>
        <v>SPS1</v>
      </c>
      <c r="C1961" s="5" t="str">
        <f t="shared" si="1305"/>
        <v>CH</v>
      </c>
      <c r="D1961" t="s">
        <v>1990</v>
      </c>
      <c r="E1961" t="s">
        <v>2000</v>
      </c>
      <c r="F1961" s="1" cm="1">
        <f t="array" ref="F1961">(SUMPRODUCT(("Var_Cap"=[1]OUT_TransportEnergyCons!$B$4:$B$10000)*1,ISNUMBER(SEARCH("T_B_u*hyb*DSL*s3",[1]OUT_TransportEnergyCons!$A$4:$A$10000))*1,[1]OUT_TransportEnergyCons!D$4:D$10000))*1000</f>
        <v>0</v>
      </c>
      <c r="G1961" s="1" cm="1">
        <f t="array" ref="G1961">(SUMPRODUCT(("Var_Cap"=[1]OUT_TransportEnergyCons!$B$4:$B$10000)*1,ISNUMBER(SEARCH("T_B_u*hyb*DSL*s3",[1]OUT_TransportEnergyCons!$A$4:$A$10000))*1,[1]OUT_TransportEnergyCons!E$4:E$10000))*1000</f>
        <v>5.2215313941468599E-4</v>
      </c>
      <c r="H1961" s="1" cm="1">
        <f t="array" ref="H1961">(SUMPRODUCT(("Var_Cap"=[1]OUT_TransportEnergyCons!$B$4:$B$10000)*1,ISNUMBER(SEARCH("T_B_u*hyb*DSL*s3",[1]OUT_TransportEnergyCons!$A$4:$A$10000))*1,[1]OUT_TransportEnergyCons!F$4:F$10000))*1000</f>
        <v>7.049575305847391E-4</v>
      </c>
      <c r="I1961" s="1" cm="1">
        <f t="array" ref="I1961">(SUMPRODUCT(("Var_Cap"=[1]OUT_TransportEnergyCons!$B$4:$B$10000)*1,ISNUMBER(SEARCH("T_B_u*hyb*DSL*s3",[1]OUT_TransportEnergyCons!$A$4:$A$10000))*1,[1]OUT_TransportEnergyCons!G$4:G$10000))*1000</f>
        <v>-8.6423676337520232E-6</v>
      </c>
      <c r="J1961" s="1" cm="1">
        <f t="array" ref="J1961">(SUMPRODUCT(("Var_Cap"=[1]OUT_TransportEnergyCons!$B$4:$B$10000)*1,ISNUMBER(SEARCH("T_B_u*hyb*DSL*s3",[1]OUT_TransportEnergyCons!$A$4:$A$10000))*1,[1]OUT_TransportEnergyCons!H$4:H$10000))*1000</f>
        <v>0</v>
      </c>
      <c r="K1961" s="1" cm="1">
        <f t="array" ref="K1961">(SUMPRODUCT(("Var_Cap"=[1]OUT_TransportEnergyCons!$B$4:$B$10000)*1,ISNUMBER(SEARCH("T_B_u*hyb*DSL*s3",[1]OUT_TransportEnergyCons!$A$4:$A$10000))*1,[1]OUT_TransportEnergyCons!I$4:I$10000))*1000</f>
        <v>0</v>
      </c>
    </row>
    <row r="1962" spans="2:11" x14ac:dyDescent="0.35">
      <c r="B1962" s="5" t="str">
        <f t="shared" si="1304"/>
        <v>SPS1</v>
      </c>
      <c r="C1962" s="5" t="str">
        <f t="shared" si="1305"/>
        <v>CH</v>
      </c>
      <c r="D1962" t="s">
        <v>1991</v>
      </c>
      <c r="E1962" t="s">
        <v>2000</v>
      </c>
      <c r="F1962" s="1" cm="1">
        <f t="array" ref="F1962">(SUMPRODUCT(("Var_Cap"=[1]OUT_TransportEnergyCons!$B$4:$B$10000)*1,ISNUMBER(SEARCH("T_B_u*hyb*DSL*s4",[1]OUT_TransportEnergyCons!$A$4:$A$10000))*1,[1]OUT_TransportEnergyCons!D$4:D$10000))*1000</f>
        <v>0</v>
      </c>
      <c r="G1962" s="1" cm="1">
        <f t="array" ref="G1962">(SUMPRODUCT(("Var_Cap"=[1]OUT_TransportEnergyCons!$B$4:$B$10000)*1,ISNUMBER(SEARCH("T_B_u*hyb*DSL*s4",[1]OUT_TransportEnergyCons!$A$4:$A$10000))*1,[1]OUT_TransportEnergyCons!E$4:E$10000))*1000</f>
        <v>0</v>
      </c>
      <c r="H1962" s="1" cm="1">
        <f t="array" ref="H1962">(SUMPRODUCT(("Var_Cap"=[1]OUT_TransportEnergyCons!$B$4:$B$10000)*1,ISNUMBER(SEARCH("T_B_u*hyb*DSL*s4",[1]OUT_TransportEnergyCons!$A$4:$A$10000))*1,[1]OUT_TransportEnergyCons!F$4:F$10000))*1000</f>
        <v>0</v>
      </c>
      <c r="I1962" s="1" cm="1">
        <f t="array" ref="I1962">(SUMPRODUCT(("Var_Cap"=[1]OUT_TransportEnergyCons!$B$4:$B$10000)*1,ISNUMBER(SEARCH("T_B_u*hyb*DSL*s4",[1]OUT_TransportEnergyCons!$A$4:$A$10000))*1,[1]OUT_TransportEnergyCons!G$4:G$10000))*1000</f>
        <v>-1.7104010691156599E-5</v>
      </c>
      <c r="J1962" s="1" cm="1">
        <f t="array" ref="J1962">(SUMPRODUCT(("Var_Cap"=[1]OUT_TransportEnergyCons!$B$4:$B$10000)*1,ISNUMBER(SEARCH("T_B_u*hyb*DSL*s4",[1]OUT_TransportEnergyCons!$A$4:$A$10000))*1,[1]OUT_TransportEnergyCons!H$4:H$10000))*1000</f>
        <v>0</v>
      </c>
      <c r="K1962" s="1" cm="1">
        <f t="array" ref="K1962">(SUMPRODUCT(("Var_Cap"=[1]OUT_TransportEnergyCons!$B$4:$B$10000)*1,ISNUMBER(SEARCH("T_B_u*hyb*DSL*s4",[1]OUT_TransportEnergyCons!$A$4:$A$10000))*1,[1]OUT_TransportEnergyCons!I$4:I$10000))*1000</f>
        <v>0</v>
      </c>
    </row>
    <row r="1963" spans="2:11" x14ac:dyDescent="0.35">
      <c r="B1963" s="5" t="str">
        <f t="shared" si="1304"/>
        <v>SPS1</v>
      </c>
      <c r="C1963" s="5" t="str">
        <f t="shared" si="1305"/>
        <v>CH</v>
      </c>
      <c r="D1963" t="s">
        <v>2004</v>
      </c>
      <c r="E1963" t="s">
        <v>2000</v>
      </c>
      <c r="F1963" s="1" cm="1">
        <f t="array" ref="F1963">(SUMPRODUCT(("Var_Cap"=[1]OUT_TransportEnergyCons!$B$4:$B$10000)*1,ISNUMBER(SEARCH("T_B_u*ICE*DSL*ext",[1]OUT_TransportEnergyCons!$A$4:$A$10000))*1,[1]OUT_TransportEnergyCons!D$4:D$10000))*1000</f>
        <v>4.5678362175525304</v>
      </c>
      <c r="G1963" s="1" cm="1">
        <f t="array" ref="G1963">(SUMPRODUCT(("Var_Cap"=[1]OUT_TransportEnergyCons!$B$4:$B$10000)*1,ISNUMBER(SEARCH("T_B_u*ICE*DSL*ext",[1]OUT_TransportEnergyCons!$A$4:$A$10000))*1,[1]OUT_TransportEnergyCons!E$4:E$10000))*1000</f>
        <v>3.65426897404202</v>
      </c>
      <c r="H1963" s="1" cm="1">
        <f t="array" ref="H1963">(SUMPRODUCT(("Var_Cap"=[1]OUT_TransportEnergyCons!$B$4:$B$10000)*1,ISNUMBER(SEARCH("T_B_u*ICE*DSL*ext",[1]OUT_TransportEnergyCons!$A$4:$A$10000))*1,[1]OUT_TransportEnergyCons!F$4:F$10000))*1000</f>
        <v>2.2838883865172681</v>
      </c>
      <c r="I1963" s="1" cm="1">
        <f t="array" ref="I1963">(SUMPRODUCT(("Var_Cap"=[1]OUT_TransportEnergyCons!$B$4:$B$10000)*1,ISNUMBER(SEARCH("T_B_u*ICE*DSL*ext",[1]OUT_TransportEnergyCons!$A$4:$A$10000))*1,[1]OUT_TransportEnergyCons!G$4:G$10000))*1000</f>
        <v>0</v>
      </c>
      <c r="J1963" s="1" cm="1">
        <f t="array" ref="J1963">(SUMPRODUCT(("Var_Cap"=[1]OUT_TransportEnergyCons!$B$4:$B$10000)*1,ISNUMBER(SEARCH("T_B_u*ICE*DSL*ext",[1]OUT_TransportEnergyCons!$A$4:$A$10000))*1,[1]OUT_TransportEnergyCons!H$4:H$10000))*1000</f>
        <v>0</v>
      </c>
      <c r="K1963" s="1" cm="1">
        <f t="array" ref="K1963">(SUMPRODUCT(("Var_Cap"=[1]OUT_TransportEnergyCons!$B$4:$B$10000)*1,ISNUMBER(SEARCH("T_B_u*ICE*DSL*ext",[1]OUT_TransportEnergyCons!$A$4:$A$10000))*1,[1]OUT_TransportEnergyCons!I$4:I$10000))*1000</f>
        <v>0</v>
      </c>
    </row>
    <row r="1964" spans="2:11" x14ac:dyDescent="0.35">
      <c r="B1964" s="5" t="str">
        <f t="shared" si="1304"/>
        <v>SPS1</v>
      </c>
      <c r="C1964" s="5" t="str">
        <f t="shared" si="1305"/>
        <v>CH</v>
      </c>
      <c r="D1964" t="s">
        <v>1992</v>
      </c>
      <c r="E1964" t="s">
        <v>2000</v>
      </c>
      <c r="F1964" s="1" cm="1">
        <f t="array" ref="F1964">(SUMPRODUCT(("Var_Cap"=[1]OUT_TransportEnergyCons!$B$4:$B$10000)*1,ISNUMBER(SEARCH("T_B_u*ICE*DSL*s1",[1]OUT_TransportEnergyCons!$A$4:$A$10000))*1,[1]OUT_TransportEnergyCons!D$4:D$10000))*1000</f>
        <v>7.0464135021097002E-4</v>
      </c>
      <c r="G1964" s="1" cm="1">
        <f t="array" ref="G1964">(SUMPRODUCT(("Var_Cap"=[1]OUT_TransportEnergyCons!$B$4:$B$10000)*1,ISNUMBER(SEARCH("T_B_u*ICE*DSL*s1",[1]OUT_TransportEnergyCons!$A$4:$A$10000))*1,[1]OUT_TransportEnergyCons!E$4:E$10000))*1000</f>
        <v>0.48205763055379747</v>
      </c>
      <c r="H1964" s="1" cm="1">
        <f t="array" ref="H1964">(SUMPRODUCT(("Var_Cap"=[1]OUT_TransportEnergyCons!$B$4:$B$10000)*1,ISNUMBER(SEARCH("T_B_u*ICE*DSL*s1",[1]OUT_TransportEnergyCons!$A$4:$A$10000))*1,[1]OUT_TransportEnergyCons!F$4:F$10000))*1000</f>
        <v>1.0031151244816323</v>
      </c>
      <c r="I1964" s="1" cm="1">
        <f t="array" ref="I1964">(SUMPRODUCT(("Var_Cap"=[1]OUT_TransportEnergyCons!$B$4:$B$10000)*1,ISNUMBER(SEARCH("T_B_u*ICE*DSL*s1",[1]OUT_TransportEnergyCons!$A$4:$A$10000))*1,[1]OUT_TransportEnergyCons!G$4:G$10000))*1000</f>
        <v>1.0917015107734553E-4</v>
      </c>
      <c r="J1964" s="1" cm="1">
        <f t="array" ref="J1964">(SUMPRODUCT(("Var_Cap"=[1]OUT_TransportEnergyCons!$B$4:$B$10000)*1,ISNUMBER(SEARCH("T_B_u*ICE*DSL*s1",[1]OUT_TransportEnergyCons!$A$4:$A$10000))*1,[1]OUT_TransportEnergyCons!H$4:H$10000))*1000</f>
        <v>0</v>
      </c>
      <c r="K1964" s="1" cm="1">
        <f t="array" ref="K1964">(SUMPRODUCT(("Var_Cap"=[1]OUT_TransportEnergyCons!$B$4:$B$10000)*1,ISNUMBER(SEARCH("T_B_u*ICE*DSL*s1",[1]OUT_TransportEnergyCons!$A$4:$A$10000))*1,[1]OUT_TransportEnergyCons!I$4:I$10000))*1000</f>
        <v>0</v>
      </c>
    </row>
    <row r="1965" spans="2:11" x14ac:dyDescent="0.35">
      <c r="B1965" s="5" t="str">
        <f t="shared" si="1304"/>
        <v>SPS1</v>
      </c>
      <c r="C1965" s="5" t="str">
        <f t="shared" si="1305"/>
        <v>CH</v>
      </c>
      <c r="D1965" t="s">
        <v>1993</v>
      </c>
      <c r="E1965" t="s">
        <v>2000</v>
      </c>
      <c r="F1965" s="1" cm="1">
        <f t="array" ref="F1965">(SUMPRODUCT(("Var_Cap"=[1]OUT_TransportEnergyCons!$B$4:$B$10000)*1,ISNUMBER(SEARCH("T_B_u*ICE*DSL*s2",[1]OUT_TransportEnergyCons!$A$4:$A$10000))*1,[1]OUT_TransportEnergyCons!D$4:D$10000))*1000</f>
        <v>0.18437140763500998</v>
      </c>
      <c r="G1965" s="1" cm="1">
        <f t="array" ref="G1965">(SUMPRODUCT(("Var_Cap"=[1]OUT_TransportEnergyCons!$B$4:$B$10000)*1,ISNUMBER(SEARCH("T_B_u*ICE*DSL*s2",[1]OUT_TransportEnergyCons!$A$4:$A$10000))*1,[1]OUT_TransportEnergyCons!E$4:E$10000))*1000</f>
        <v>0.22469866618976789</v>
      </c>
      <c r="H1965" s="1" cm="1">
        <f t="array" ref="H1965">(SUMPRODUCT(("Var_Cap"=[1]OUT_TransportEnergyCons!$B$4:$B$10000)*1,ISNUMBER(SEARCH("T_B_u*ICE*DSL*s2",[1]OUT_TransportEnergyCons!$A$4:$A$10000))*1,[1]OUT_TransportEnergyCons!F$4:F$10000))*1000</f>
        <v>0.40671311717745801</v>
      </c>
      <c r="I1965" s="1" cm="1">
        <f t="array" ref="I1965">(SUMPRODUCT(("Var_Cap"=[1]OUT_TransportEnergyCons!$B$4:$B$10000)*1,ISNUMBER(SEARCH("T_B_u*ICE*DSL*s2",[1]OUT_TransportEnergyCons!$A$4:$A$10000))*1,[1]OUT_TransportEnergyCons!G$4:G$10000))*1000</f>
        <v>-6.5367957949747507E-6</v>
      </c>
      <c r="J1965" s="1" cm="1">
        <f t="array" ref="J1965">(SUMPRODUCT(("Var_Cap"=[1]OUT_TransportEnergyCons!$B$4:$B$10000)*1,ISNUMBER(SEARCH("T_B_u*ICE*DSL*s2",[1]OUT_TransportEnergyCons!$A$4:$A$10000))*1,[1]OUT_TransportEnergyCons!H$4:H$10000))*1000</f>
        <v>-4.6778691978946096E-6</v>
      </c>
      <c r="K1965" s="1" cm="1">
        <f t="array" ref="K1965">(SUMPRODUCT(("Var_Cap"=[1]OUT_TransportEnergyCons!$B$4:$B$10000)*1,ISNUMBER(SEARCH("T_B_u*ICE*DSL*s2",[1]OUT_TransportEnergyCons!$A$4:$A$10000))*1,[1]OUT_TransportEnergyCons!I$4:I$10000))*1000</f>
        <v>0</v>
      </c>
    </row>
    <row r="1966" spans="2:11" x14ac:dyDescent="0.35">
      <c r="B1966" s="5" t="str">
        <f t="shared" si="1304"/>
        <v>SPS1</v>
      </c>
      <c r="C1966" s="5" t="str">
        <f t="shared" si="1305"/>
        <v>CH</v>
      </c>
      <c r="D1966" t="s">
        <v>1994</v>
      </c>
      <c r="E1966" t="s">
        <v>2000</v>
      </c>
      <c r="F1966" s="1" cm="1">
        <f t="array" ref="F1966">(SUMPRODUCT(("Var_Cap"=[1]OUT_TransportEnergyCons!$B$4:$B$10000)*1,ISNUMBER(SEARCH("T_B_u*ICE*DSL*s3",[1]OUT_TransportEnergyCons!$A$4:$A$10000))*1,[1]OUT_TransportEnergyCons!D$4:D$10000))*1000</f>
        <v>0.80653764538018591</v>
      </c>
      <c r="G1966" s="1" cm="1">
        <f t="array" ref="G1966">(SUMPRODUCT(("Var_Cap"=[1]OUT_TransportEnergyCons!$B$4:$B$10000)*1,ISNUMBER(SEARCH("T_B_u*ICE*DSL*s3",[1]OUT_TransportEnergyCons!$A$4:$A$10000))*1,[1]OUT_TransportEnergyCons!E$4:E$10000))*1000</f>
        <v>0.99951252290075776</v>
      </c>
      <c r="H1966" s="1" cm="1">
        <f t="array" ref="H1966">(SUMPRODUCT(("Var_Cap"=[1]OUT_TransportEnergyCons!$B$4:$B$10000)*1,ISNUMBER(SEARCH("T_B_u*ICE*DSL*s3",[1]OUT_TransportEnergyCons!$A$4:$A$10000))*1,[1]OUT_TransportEnergyCons!F$4:F$10000))*1000</f>
        <v>1.797997149568048</v>
      </c>
      <c r="I1966" s="1" cm="1">
        <f t="array" ref="I1966">(SUMPRODUCT(("Var_Cap"=[1]OUT_TransportEnergyCons!$B$4:$B$10000)*1,ISNUMBER(SEARCH("T_B_u*ICE*DSL*s3",[1]OUT_TransportEnergyCons!$A$4:$A$10000))*1,[1]OUT_TransportEnergyCons!G$4:G$10000))*1000</f>
        <v>-7.0579922559644431E-6</v>
      </c>
      <c r="J1966" s="1" cm="1">
        <f t="array" ref="J1966">(SUMPRODUCT(("Var_Cap"=[1]OUT_TransportEnergyCons!$B$4:$B$10000)*1,ISNUMBER(SEARCH("T_B_u*ICE*DSL*s3",[1]OUT_TransportEnergyCons!$A$4:$A$10000))*1,[1]OUT_TransportEnergyCons!H$4:H$10000))*1000</f>
        <v>0</v>
      </c>
      <c r="K1966" s="1" cm="1">
        <f t="array" ref="K1966">(SUMPRODUCT(("Var_Cap"=[1]OUT_TransportEnergyCons!$B$4:$B$10000)*1,ISNUMBER(SEARCH("T_B_u*ICE*DSL*s3",[1]OUT_TransportEnergyCons!$A$4:$A$10000))*1,[1]OUT_TransportEnergyCons!I$4:I$10000))*1000</f>
        <v>0</v>
      </c>
    </row>
    <row r="1967" spans="2:11" x14ac:dyDescent="0.35">
      <c r="B1967" s="5" t="str">
        <f t="shared" si="1304"/>
        <v>SPS1</v>
      </c>
      <c r="C1967" s="5" t="str">
        <f t="shared" si="1305"/>
        <v>CH</v>
      </c>
      <c r="D1967" t="s">
        <v>1995</v>
      </c>
      <c r="E1967" t="s">
        <v>2000</v>
      </c>
      <c r="F1967" s="1" cm="1">
        <f t="array" ref="F1967">(SUMPRODUCT(("Var_Cap"=[1]OUT_TransportEnergyCons!$B$4:$B$10000)*1,ISNUMBER(SEARCH("T_B_u*ICE*DSL*s4",[1]OUT_TransportEnergyCons!$A$4:$A$10000))*1,[1]OUT_TransportEnergyCons!D$4:D$10000))*1000</f>
        <v>2.7919041313590695E-3</v>
      </c>
      <c r="G1967" s="1" cm="1">
        <f t="array" ref="G1967">(SUMPRODUCT(("Var_Cap"=[1]OUT_TransportEnergyCons!$B$4:$B$10000)*1,ISNUMBER(SEARCH("T_B_u*ICE*DSL*s4",[1]OUT_TransportEnergyCons!$A$4:$A$10000))*1,[1]OUT_TransportEnergyCons!E$4:E$10000))*1000</f>
        <v>8.695431945752587E-5</v>
      </c>
      <c r="H1967" s="1" cm="1">
        <f t="array" ref="H1967">(SUMPRODUCT(("Var_Cap"=[1]OUT_TransportEnergyCons!$B$4:$B$10000)*1,ISNUMBER(SEARCH("T_B_u*ICE*DSL*s4",[1]OUT_TransportEnergyCons!$A$4:$A$10000))*1,[1]OUT_TransportEnergyCons!F$4:F$10000))*1000</f>
        <v>1.5550564981124844E-4</v>
      </c>
      <c r="I1967" s="1" cm="1">
        <f t="array" ref="I1967">(SUMPRODUCT(("Var_Cap"=[1]OUT_TransportEnergyCons!$B$4:$B$10000)*1,ISNUMBER(SEARCH("T_B_u*ICE*DSL*s4",[1]OUT_TransportEnergyCons!$A$4:$A$10000))*1,[1]OUT_TransportEnergyCons!G$4:G$10000))*1000</f>
        <v>-7.8420668698098472E-6</v>
      </c>
      <c r="J1967" s="1" cm="1">
        <f t="array" ref="J1967">(SUMPRODUCT(("Var_Cap"=[1]OUT_TransportEnergyCons!$B$4:$B$10000)*1,ISNUMBER(SEARCH("T_B_u*ICE*DSL*s4",[1]OUT_TransportEnergyCons!$A$4:$A$10000))*1,[1]OUT_TransportEnergyCons!H$4:H$10000))*1000</f>
        <v>0</v>
      </c>
      <c r="K1967" s="1" cm="1">
        <f t="array" ref="K1967">(SUMPRODUCT(("Var_Cap"=[1]OUT_TransportEnergyCons!$B$4:$B$10000)*1,ISNUMBER(SEARCH("T_B_u*ICE*DSL*s4",[1]OUT_TransportEnergyCons!$A$4:$A$10000))*1,[1]OUT_TransportEnergyCons!I$4:I$10000))*1000</f>
        <v>0</v>
      </c>
    </row>
    <row r="1968" spans="2:11" x14ac:dyDescent="0.35">
      <c r="B1968" s="5" t="str">
        <f t="shared" si="1304"/>
        <v>SPS1</v>
      </c>
      <c r="C1968" s="5" t="str">
        <f t="shared" si="1305"/>
        <v>CH</v>
      </c>
      <c r="D1968" t="s">
        <v>2008</v>
      </c>
      <c r="E1968" t="s">
        <v>2000</v>
      </c>
      <c r="F1968" s="1" cm="1">
        <f t="array" ref="F1968">(SUMPRODUCT(("Var_Cap"=[1]OUT_TransportEnergyCons!$B$4:$B$10000)*1,ISNUMBER(SEARCH("T_B_u*ICE*nga*ext",[1]OUT_TransportEnergyCons!$A$4:$A$10000))*1,[1]OUT_TransportEnergyCons!D$4:D$10000))*1000</f>
        <v>8.3575401730531504E-2</v>
      </c>
      <c r="G1968" s="1" cm="1">
        <f t="array" ref="G1968">(SUMPRODUCT(("Var_Cap"=[1]OUT_TransportEnergyCons!$B$4:$B$10000)*1,ISNUMBER(SEARCH("T_B_u*ICE*nga*ext",[1]OUT_TransportEnergyCons!$A$4:$A$10000))*1,[1]OUT_TransportEnergyCons!E$4:E$10000))*1000</f>
        <v>6.68603213844252E-2</v>
      </c>
      <c r="H1968" s="1" cm="1">
        <f t="array" ref="H1968">(SUMPRODUCT(("Var_Cap"=[1]OUT_TransportEnergyCons!$B$4:$B$10000)*1,ISNUMBER(SEARCH("T_B_u*ICE*nga*ext",[1]OUT_TransportEnergyCons!$A$4:$A$10000))*1,[1]OUT_TransportEnergyCons!F$4:F$10000))*1000</f>
        <v>4.1787700865265807E-2</v>
      </c>
      <c r="I1968" s="1" cm="1">
        <f t="array" ref="I1968">(SUMPRODUCT(("Var_Cap"=[1]OUT_TransportEnergyCons!$B$4:$B$10000)*1,ISNUMBER(SEARCH("T_B_u*ICE*nga*ext",[1]OUT_TransportEnergyCons!$A$4:$A$10000))*1,[1]OUT_TransportEnergyCons!G$4:G$10000))*1000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(SUMPRODUCT(("Var_Cap"=[1]OUT_TransportEnergyCons!$B$4:$B$10000)*1,ISNUMBER(SEARCH("T_B_u*ICE*nga*ext",[1]OUT_TransportEnergyCons!$A$4:$A$10000))*1,[1]OUT_TransportEnergyCons!H$4:H$10000))*1000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(SUMPRODUCT(("Var_Cap"=[1]OUT_TransportEnergyCons!$B$4:$B$10000)*1,ISNUMBER(SEARCH("T_B_u*ICE*nga*ext",[1]OUT_TransportEnergyCons!$A$4:$A$10000))*1,[1]OUT_TransportEnergyCons!I$4:I$10000))*1000</f>
        <v>0</v>
      </c>
    </row>
    <row r="1969" spans="2:11" x14ac:dyDescent="0.35">
      <c r="B1969" s="5" t="str">
        <f t="shared" si="1304"/>
        <v>SPS1</v>
      </c>
      <c r="C1969" s="5" t="str">
        <f t="shared" si="1305"/>
        <v>CH</v>
      </c>
      <c r="D1969" t="s">
        <v>1996</v>
      </c>
      <c r="E1969" t="s">
        <v>2000</v>
      </c>
      <c r="F1969" s="1" cm="1">
        <f t="array" ref="F1969">(SUMPRODUCT(("Var_Cap"=[1]OUT_TransportEnergyCons!$B$4:$B$10000)*1,ISNUMBER(SEARCH("T_B_u*ICE*nga*s1",[1]OUT_TransportEnergyCons!$A$4:$A$10000))*1,[1]OUT_TransportEnergyCons!D$4:D$10000))*1000</f>
        <v>0</v>
      </c>
      <c r="G1969" s="1" cm="1">
        <f t="array" ref="G1969">(SUMPRODUCT(("Var_Cap"=[1]OUT_TransportEnergyCons!$B$4:$B$10000)*1,ISNUMBER(SEARCH("T_B_u*ICE*nga*s1",[1]OUT_TransportEnergyCons!$A$4:$A$10000))*1,[1]OUT_TransportEnergyCons!E$4:E$10000))*1000</f>
        <v>4.4058209260160099E-4</v>
      </c>
      <c r="H1969" s="1" cm="1">
        <f t="array" ref="H1969">(SUMPRODUCT(("Var_Cap"=[1]OUT_TransportEnergyCons!$B$4:$B$10000)*1,ISNUMBER(SEARCH("T_B_u*ICE*nga*s1",[1]OUT_TransportEnergyCons!$A$4:$A$10000))*1,[1]OUT_TransportEnergyCons!F$4:F$10000))*1000</f>
        <v>1.1962933014375602E-3</v>
      </c>
      <c r="I1969" s="1" cm="1">
        <f t="array" ref="I1969">(SUMPRODUCT(("Var_Cap"=[1]OUT_TransportEnergyCons!$B$4:$B$10000)*1,ISNUMBER(SEARCH("T_B_u*ICE*nga*s1",[1]OUT_TransportEnergyCons!$A$4:$A$10000))*1,[1]OUT_TransportEnergyCons!G$4:G$10000))*1000</f>
        <v>3.7450605294649868E-5</v>
      </c>
      <c r="J1969" s="1" cm="1">
        <f t="array" ref="J1969">(SUMPRODUCT(("Var_Cap"=[1]OUT_TransportEnergyCons!$B$4:$B$10000)*1,ISNUMBER(SEARCH("T_B_u*ICE*nga*s1",[1]OUT_TransportEnergyCons!$A$4:$A$10000))*1,[1]OUT_TransportEnergyCons!H$4:H$10000))*1000</f>
        <v>1.3282717344321101E-5</v>
      </c>
      <c r="K1969" s="1" cm="1">
        <f t="array" ref="K1969">(SUMPRODUCT(("Var_Cap"=[1]OUT_TransportEnergyCons!$B$4:$B$10000)*1,ISNUMBER(SEARCH("T_B_u*ICE*nga*s1",[1]OUT_TransportEnergyCons!$A$4:$A$10000))*1,[1]OUT_TransportEnergyCons!I$4:I$10000))*1000</f>
        <v>7.4972168995671796E-6</v>
      </c>
    </row>
    <row r="1970" spans="2:11" x14ac:dyDescent="0.35">
      <c r="B1970" s="5" t="str">
        <f t="shared" si="1304"/>
        <v>SPS1</v>
      </c>
      <c r="C1970" s="5" t="str">
        <f t="shared" si="1305"/>
        <v>CH</v>
      </c>
      <c r="D1970" t="s">
        <v>1997</v>
      </c>
      <c r="E1970" t="s">
        <v>2000</v>
      </c>
      <c r="F1970" s="1" cm="1">
        <f t="array" ref="F1970">(SUMPRODUCT(("Var_Cap"=[1]OUT_TransportEnergyCons!$B$4:$B$10000)*1,ISNUMBER(SEARCH("T_B_u*ICE*nga*s2",[1]OUT_TransportEnergyCons!$A$4:$A$10000))*1,[1]OUT_TransportEnergyCons!D$4:D$10000))*1000</f>
        <v>0</v>
      </c>
      <c r="G1970" s="1" cm="1">
        <f t="array" ref="G1970">(SUMPRODUCT(("Var_Cap"=[1]OUT_TransportEnergyCons!$B$4:$B$10000)*1,ISNUMBER(SEARCH("T_B_u*ICE*nga*s2",[1]OUT_TransportEnergyCons!$A$4:$A$10000))*1,[1]OUT_TransportEnergyCons!E$4:E$10000))*1000</f>
        <v>1.8202632249589501E-4</v>
      </c>
      <c r="H1970" s="1" cm="1">
        <f t="array" ref="H1970">(SUMPRODUCT(("Var_Cap"=[1]OUT_TransportEnergyCons!$B$4:$B$10000)*1,ISNUMBER(SEARCH("T_B_u*ICE*nga*s2",[1]OUT_TransportEnergyCons!$A$4:$A$10000))*1,[1]OUT_TransportEnergyCons!F$4:F$10000))*1000</f>
        <v>1.31587633747932E-3</v>
      </c>
      <c r="I1970" s="1" cm="1">
        <f t="array" ref="I1970">(SUMPRODUCT(("Var_Cap"=[1]OUT_TransportEnergyCons!$B$4:$B$10000)*1,ISNUMBER(SEARCH("T_B_u*ICE*nga*s2",[1]OUT_TransportEnergyCons!$A$4:$A$10000))*1,[1]OUT_TransportEnergyCons!G$4:G$10000))*1000</f>
        <v>1.0162200637990106E-5</v>
      </c>
      <c r="J1970" s="1" cm="1">
        <f t="array" ref="J1970">(SUMPRODUCT(("Var_Cap"=[1]OUT_TransportEnergyCons!$B$4:$B$10000)*1,ISNUMBER(SEARCH("T_B_u*ICE*nga*s2",[1]OUT_TransportEnergyCons!$A$4:$A$10000))*1,[1]OUT_TransportEnergyCons!H$4:H$10000))*1000</f>
        <v>-1.4593550514835801E-5</v>
      </c>
      <c r="K1970" s="1" cm="1">
        <f t="array" ref="K1970">(SUMPRODUCT(("Var_Cap"=[1]OUT_TransportEnergyCons!$B$4:$B$10000)*1,ISNUMBER(SEARCH("T_B_u*ICE*nga*s2",[1]OUT_TransportEnergyCons!$A$4:$A$10000))*1,[1]OUT_TransportEnergyCons!I$4:I$10000))*1000</f>
        <v>0</v>
      </c>
    </row>
    <row r="1971" spans="2:11" x14ac:dyDescent="0.35">
      <c r="B1971" s="5" t="str">
        <f t="shared" si="1304"/>
        <v>SPS1</v>
      </c>
      <c r="C1971" s="5" t="str">
        <f t="shared" si="1305"/>
        <v>CH</v>
      </c>
      <c r="D1971" t="s">
        <v>1998</v>
      </c>
      <c r="E1971" t="s">
        <v>2000</v>
      </c>
      <c r="F1971" s="1" cm="1">
        <f t="array" ref="F1971">(SUMPRODUCT(("Var_Cap"=[1]OUT_TransportEnergyCons!$B$4:$B$10000)*1,ISNUMBER(SEARCH("T_B_u*ICE*nga*s3",[1]OUT_TransportEnergyCons!$A$4:$A$10000))*1,[1]OUT_TransportEnergyCons!D$4:D$10000))*1000</f>
        <v>0</v>
      </c>
      <c r="G1971" s="1" cm="1">
        <f t="array" ref="G1971">(SUMPRODUCT(("Var_Cap"=[1]OUT_TransportEnergyCons!$B$4:$B$10000)*1,ISNUMBER(SEARCH("T_B_u*ICE*nga*s3",[1]OUT_TransportEnergyCons!$A$4:$A$10000))*1,[1]OUT_TransportEnergyCons!E$4:E$10000))*1000</f>
        <v>9.973900843623671E-5</v>
      </c>
      <c r="H1971" s="1" cm="1">
        <f t="array" ref="H1971">(SUMPRODUCT(("Var_Cap"=[1]OUT_TransportEnergyCons!$B$4:$B$10000)*1,ISNUMBER(SEARCH("T_B_u*ICE*nga*s3",[1]OUT_TransportEnergyCons!$A$4:$A$10000))*1,[1]OUT_TransportEnergyCons!F$4:F$10000))*1000</f>
        <v>3.10924968657455E-2</v>
      </c>
      <c r="I1971" s="1" cm="1">
        <f t="array" ref="I1971">(SUMPRODUCT(("Var_Cap"=[1]OUT_TransportEnergyCons!$B$4:$B$10000)*1,ISNUMBER(SEARCH("T_B_u*ICE*nga*s3",[1]OUT_TransportEnergyCons!$A$4:$A$10000))*1,[1]OUT_TransportEnergyCons!G$4:G$10000))*1000</f>
        <v>-3.2042928650003496E-6</v>
      </c>
      <c r="J1971" s="1" cm="1">
        <f t="array" ref="J1971">(SUMPRODUCT(("Var_Cap"=[1]OUT_TransportEnergyCons!$B$4:$B$10000)*1,ISNUMBER(SEARCH("T_B_u*ICE*nga*s3",[1]OUT_TransportEnergyCons!$A$4:$A$10000))*1,[1]OUT_TransportEnergyCons!H$4:H$10000))*1000</f>
        <v>-4.8676908349544007E-6</v>
      </c>
      <c r="K1971" s="1" cm="1">
        <f t="array" ref="K1971">(SUMPRODUCT(("Var_Cap"=[1]OUT_TransportEnergyCons!$B$4:$B$10000)*1,ISNUMBER(SEARCH("T_B_u*ICE*nga*s3",[1]OUT_TransportEnergyCons!$A$4:$A$10000))*1,[1]OUT_TransportEnergyCons!I$4:I$10000))*1000</f>
        <v>5.3234890449307999E-6</v>
      </c>
    </row>
    <row r="1972" spans="2:11" x14ac:dyDescent="0.35">
      <c r="B1972" s="5" t="str">
        <f t="shared" si="1304"/>
        <v>SPS1</v>
      </c>
      <c r="C1972" s="5" t="str">
        <f t="shared" si="1305"/>
        <v>CH</v>
      </c>
      <c r="D1972" t="s">
        <v>1999</v>
      </c>
      <c r="E1972" t="s">
        <v>2000</v>
      </c>
      <c r="F1972" s="1" cm="1">
        <f t="array" ref="F1972">(SUMPRODUCT(("Var_Cap"=[1]OUT_TransportEnergyCons!$B$4:$B$10000)*1,ISNUMBER(SEARCH("T_B_u*ICE*nga*s4",[1]OUT_TransportEnergyCons!$A$4:$A$10000))*1,[1]OUT_TransportEnergyCons!D$4:D$10000))*1000</f>
        <v>0</v>
      </c>
      <c r="G1972" s="1" cm="1">
        <f t="array" ref="G1972">(SUMPRODUCT(("Var_Cap"=[1]OUT_TransportEnergyCons!$B$4:$B$10000)*1,ISNUMBER(SEARCH("T_B_u*ICE*nga*s4",[1]OUT_TransportEnergyCons!$A$4:$A$10000))*1,[1]OUT_TransportEnergyCons!E$4:E$10000))*1000</f>
        <v>0</v>
      </c>
      <c r="H1972" s="1" cm="1">
        <f t="array" ref="H1972">(SUMPRODUCT(("Var_Cap"=[1]OUT_TransportEnergyCons!$B$4:$B$10000)*1,ISNUMBER(SEARCH("T_B_u*ICE*nga*s4",[1]OUT_TransportEnergyCons!$A$4:$A$10000))*1,[1]OUT_TransportEnergyCons!F$4:F$10000))*1000</f>
        <v>0</v>
      </c>
      <c r="I1972" s="1" cm="1">
        <f t="array" ref="I1972">(SUMPRODUCT(("Var_Cap"=[1]OUT_TransportEnergyCons!$B$4:$B$10000)*1,ISNUMBER(SEARCH("T_B_u*ICE*nga*s4",[1]OUT_TransportEnergyCons!$A$4:$A$10000))*1,[1]OUT_TransportEnergyCons!G$4:G$10000))*1000</f>
        <v>0</v>
      </c>
      <c r="J1972" s="1" cm="1">
        <f t="array" ref="J1972">(SUMPRODUCT(("Var_Cap"=[1]OUT_TransportEnergyCons!$B$4:$B$10000)*1,ISNUMBER(SEARCH("T_B_u*ICE*nga*s4",[1]OUT_TransportEnergyCons!$A$4:$A$10000))*1,[1]OUT_TransportEnergyCons!H$4:H$10000))*1000</f>
        <v>-1.63721744563383E-5</v>
      </c>
      <c r="K1972" s="1" cm="1">
        <f t="array" ref="K1972">(SUMPRODUCT(("Var_Cap"=[1]OUT_TransportEnergyCons!$B$4:$B$10000)*1,ISNUMBER(SEARCH("T_B_u*ICE*nga*s4",[1]OUT_TransportEnergyCons!$A$4:$A$10000))*1,[1]OUT_TransportEnergyCons!I$4:I$10000))*1000</f>
        <v>0</v>
      </c>
    </row>
    <row r="1973" spans="2:11" x14ac:dyDescent="0.35">
      <c r="B1973" s="5" t="str">
        <f>B1972</f>
        <v>SPS1</v>
      </c>
      <c r="C1973" s="5" t="str">
        <f>C1972</f>
        <v>CH</v>
      </c>
      <c r="D1973" s="2" t="s">
        <v>1978</v>
      </c>
      <c r="E1973" s="2" t="s">
        <v>2000</v>
      </c>
      <c r="F1973" s="3">
        <f>SUM(F1974:F1996)</f>
        <v>2.8478433903943583</v>
      </c>
      <c r="G1973" s="3">
        <f t="shared" ref="G1973" si="1306">SUM(G1974:G1996)</f>
        <v>3.078221786004109</v>
      </c>
      <c r="H1973" s="3">
        <f t="shared" ref="H1973" si="1307">SUM(H1974:H1996)</f>
        <v>2.8849212456196867</v>
      </c>
      <c r="I1973" s="3">
        <f t="shared" ref="I1973" si="1308">SUM(I1974:I1996)</f>
        <v>2.9273513163118428</v>
      </c>
      <c r="J1973" s="3">
        <f t="shared" ref="J1973" si="1309">SUM(J1974:J1996)</f>
        <v>2.9276047463228614</v>
      </c>
      <c r="K1973" s="3">
        <f t="shared" ref="K1973" si="1310">SUM(K1974:K1996)</f>
        <v>2.9275851540493054</v>
      </c>
    </row>
    <row r="1974" spans="2:11" x14ac:dyDescent="0.35">
      <c r="B1974" s="5" t="str">
        <f t="shared" ref="B1974:B1996" si="1311">B1973</f>
        <v>SPS1</v>
      </c>
      <c r="C1974" s="5" t="str">
        <f t="shared" ref="C1974:C1996" si="1312">C1973</f>
        <v>CH</v>
      </c>
      <c r="D1974" t="s">
        <v>2009</v>
      </c>
      <c r="E1974" t="s">
        <v>2000</v>
      </c>
      <c r="F1974" s="1" cm="1">
        <f t="array" ref="F1974">(SUMPRODUCT(("Var_Cap"=[1]OUT_TransportEnergyCons!$B$4:$B$10000)*1,ISNUMBER(SEARCH("T_b_c*bev*ext",[1]OUT_TransportEnergyCons!$A$4:$A$10000))*1,[1]OUT_TransportEnergyCons!D$4:D$10000))*1000</f>
        <v>0</v>
      </c>
      <c r="G1974" s="1" cm="1">
        <f t="array" ref="G1974">(SUMPRODUCT(("Var_Cap"=[1]OUT_TransportEnergyCons!$B$4:$B$10000)*1,ISNUMBER(SEARCH("T_b_c*bev*ext",[1]OUT_TransportEnergyCons!$A$4:$A$10000))*1,[1]OUT_TransportEnergyCons!E$4:E$10000))*1000</f>
        <v>0</v>
      </c>
      <c r="H1974" s="1" cm="1">
        <f t="array" ref="H1974">(SUMPRODUCT(("Var_Cap"=[1]OUT_TransportEnergyCons!$B$4:$B$10000)*1,ISNUMBER(SEARCH("T_b_c*bev*ext",[1]OUT_TransportEnergyCons!$A$4:$A$10000))*1,[1]OUT_TransportEnergyCons!F$4:F$10000))*1000</f>
        <v>0</v>
      </c>
      <c r="I1974" s="1" cm="1">
        <f t="array" ref="I1974">(SUMPRODUCT(("Var_Cap"=[1]OUT_TransportEnergyCons!$B$4:$B$10000)*1,ISNUMBER(SEARCH("T_b_c*bev*ext",[1]OUT_TransportEnergyCons!$A$4:$A$10000))*1,[1]OUT_TransportEnergyCons!G$4:G$10000))*1000</f>
        <v>0</v>
      </c>
      <c r="J1974" s="1" cm="1">
        <f t="array" ref="J1974">(SUMPRODUCT(("Var_Cap"=[1]OUT_TransportEnergyCons!$B$4:$B$10000)*1,ISNUMBER(SEARCH("T_b_c*bev*ext",[1]OUT_TransportEnergyCons!$A$4:$A$10000))*1,[1]OUT_TransportEnergyCons!H$4:H$10000))*1000</f>
        <v>0</v>
      </c>
      <c r="K1974" s="1" cm="1">
        <f t="array" ref="K1974">(SUMPRODUCT(("Var_Cap"=[1]OUT_TransportEnergyCons!$B$4:$B$10000)*1,ISNUMBER(SEARCH("T_b_c*bev*ext",[1]OUT_TransportEnergyCons!$A$4:$A$10000))*1,[1]OUT_TransportEnergyCons!I$4:I$10000))*1000</f>
        <v>0</v>
      </c>
    </row>
    <row r="1975" spans="2:11" x14ac:dyDescent="0.35">
      <c r="B1975" s="5" t="str">
        <f t="shared" si="1311"/>
        <v>SPS1</v>
      </c>
      <c r="C1975" s="5" t="str">
        <f t="shared" si="1312"/>
        <v>CH</v>
      </c>
      <c r="D1975" t="s">
        <v>2010</v>
      </c>
      <c r="E1975" t="s">
        <v>2000</v>
      </c>
      <c r="F1975" s="1" cm="1">
        <f t="array" ref="F1975">(SUMPRODUCT(("Var_Cap"=[1]OUT_TransportEnergyCons!$B$4:$B$10000)*1,ISNUMBER(SEARCH("T_b_c*bev*s1",[1]OUT_TransportEnergyCons!$A$4:$A$10000))*1,[1]OUT_TransportEnergyCons!D$4:D$10000))*1000</f>
        <v>3.3382648106010009E-3</v>
      </c>
      <c r="G1975" s="1" cm="1">
        <f t="array" ref="G1975">(SUMPRODUCT(("Var_Cap"=[1]OUT_TransportEnergyCons!$B$4:$B$10000)*1,ISNUMBER(SEARCH("T_b_c*bev*s1",[1]OUT_TransportEnergyCons!$A$4:$A$10000))*1,[1]OUT_TransportEnergyCons!E$4:E$10000))*1000</f>
        <v>1.2920268310747531E-2</v>
      </c>
      <c r="H1975" s="1" cm="1">
        <f t="array" ref="H1975">(SUMPRODUCT(("Var_Cap"=[1]OUT_TransportEnergyCons!$B$4:$B$10000)*1,ISNUMBER(SEARCH("T_b_c*bev*s1",[1]OUT_TransportEnergyCons!$A$4:$A$10000))*1,[1]OUT_TransportEnergyCons!F$4:F$10000))*1000</f>
        <v>1.7442557026898661E-2</v>
      </c>
      <c r="I1975" s="1" cm="1">
        <f t="array" ref="I1975">(SUMPRODUCT(("Var_Cap"=[1]OUT_TransportEnergyCons!$B$4:$B$10000)*1,ISNUMBER(SEARCH("T_b_c*bev*s1",[1]OUT_TransportEnergyCons!$A$4:$A$10000))*1,[1]OUT_TransportEnergyCons!G$4:G$10000))*1000</f>
        <v>1.4117686098531821</v>
      </c>
      <c r="J1975" s="1" cm="1">
        <f t="array" ref="J1975">(SUMPRODUCT(("Var_Cap"=[1]OUT_TransportEnergyCons!$B$4:$B$10000)*1,ISNUMBER(SEARCH("T_b_c*bev*s1",[1]OUT_TransportEnergyCons!$A$4:$A$10000))*1,[1]OUT_TransportEnergyCons!H$4:H$10000))*1000</f>
        <v>1.409489383509918</v>
      </c>
      <c r="K1975" s="1" cm="1">
        <f t="array" ref="K1975">(SUMPRODUCT(("Var_Cap"=[1]OUT_TransportEnergyCons!$B$4:$B$10000)*1,ISNUMBER(SEARCH("T_b_c*bev*s1",[1]OUT_TransportEnergyCons!$A$4:$A$10000))*1,[1]OUT_TransportEnergyCons!I$4:I$10000))*1000</f>
        <v>1.4497662997531775</v>
      </c>
    </row>
    <row r="1976" spans="2:11" x14ac:dyDescent="0.35">
      <c r="B1976" s="5" t="str">
        <f t="shared" si="1311"/>
        <v>SPS1</v>
      </c>
      <c r="C1976" s="5" t="str">
        <f t="shared" si="1312"/>
        <v>CH</v>
      </c>
      <c r="D1976" t="s">
        <v>2011</v>
      </c>
      <c r="E1976" t="s">
        <v>2000</v>
      </c>
      <c r="F1976" s="1" cm="1">
        <f t="array" ref="F1976">(SUMPRODUCT(("Var_Cap"=[1]OUT_TransportEnergyCons!$B$4:$B$10000)*1,ISNUMBER(SEARCH("T_b_c*bev*s2",[1]OUT_TransportEnergyCons!$A$4:$A$10000))*1,[1]OUT_TransportEnergyCons!D$4:D$10000))*1000</f>
        <v>3.9296770223455502E-3</v>
      </c>
      <c r="G1976" s="1" cm="1">
        <f t="array" ref="G1976">(SUMPRODUCT(("Var_Cap"=[1]OUT_TransportEnergyCons!$B$4:$B$10000)*1,ISNUMBER(SEARCH("T_b_c*bev*s2",[1]OUT_TransportEnergyCons!$A$4:$A$10000))*1,[1]OUT_TransportEnergyCons!E$4:E$10000))*1000</f>
        <v>4.7776913763809999E-3</v>
      </c>
      <c r="H1976" s="1" cm="1">
        <f t="array" ref="H1976">(SUMPRODUCT(("Var_Cap"=[1]OUT_TransportEnergyCons!$B$4:$B$10000)*1,ISNUMBER(SEARCH("T_b_c*bev*s2",[1]OUT_TransportEnergyCons!$A$4:$A$10000))*1,[1]OUT_TransportEnergyCons!F$4:F$10000))*1000</f>
        <v>5.5316984378423395E-3</v>
      </c>
      <c r="I1976" s="1" cm="1">
        <f t="array" ref="I1976">(SUMPRODUCT(("Var_Cap"=[1]OUT_TransportEnergyCons!$B$4:$B$10000)*1,ISNUMBER(SEARCH("T_b_c*bev*s2",[1]OUT_TransportEnergyCons!$A$4:$A$10000))*1,[1]OUT_TransportEnergyCons!G$4:G$10000))*1000</f>
        <v>1.2474562009395629</v>
      </c>
      <c r="J1976" s="1" cm="1">
        <f t="array" ref="J1976">(SUMPRODUCT(("Var_Cap"=[1]OUT_TransportEnergyCons!$B$4:$B$10000)*1,ISNUMBER(SEARCH("T_b_c*bev*s2",[1]OUT_TransportEnergyCons!$A$4:$A$10000))*1,[1]OUT_TransportEnergyCons!H$4:H$10000))*1000</f>
        <v>1.2502414881646002</v>
      </c>
      <c r="K1976" s="1" cm="1">
        <f t="array" ref="K1976">(SUMPRODUCT(("Var_Cap"=[1]OUT_TransportEnergyCons!$B$4:$B$10000)*1,ISNUMBER(SEARCH("T_b_c*bev*s2",[1]OUT_TransportEnergyCons!$A$4:$A$10000))*1,[1]OUT_TransportEnergyCons!I$4:I$10000))*1000</f>
        <v>1.2171826226626301</v>
      </c>
    </row>
    <row r="1977" spans="2:11" x14ac:dyDescent="0.35">
      <c r="B1977" s="5" t="str">
        <f t="shared" si="1311"/>
        <v>SPS1</v>
      </c>
      <c r="C1977" s="5" t="str">
        <f t="shared" si="1312"/>
        <v>CH</v>
      </c>
      <c r="D1977" t="s">
        <v>2012</v>
      </c>
      <c r="E1977" t="s">
        <v>2000</v>
      </c>
      <c r="F1977" s="1" cm="1">
        <f t="array" ref="F1977">(SUMPRODUCT(("Var_Cap"=[1]OUT_TransportEnergyCons!$B$4:$B$10000)*1,ISNUMBER(SEARCH("T_b_c*bev*s3",[1]OUT_TransportEnergyCons!$A$4:$A$10000))*1,[1]OUT_TransportEnergyCons!D$4:D$10000))*1000</f>
        <v>7.8058484940012008E-4</v>
      </c>
      <c r="G1977" s="1" cm="1">
        <f t="array" ref="G1977">(SUMPRODUCT(("Var_Cap"=[1]OUT_TransportEnergyCons!$B$4:$B$10000)*1,ISNUMBER(SEARCH("T_b_c*bev*s3",[1]OUT_TransportEnergyCons!$A$4:$A$10000))*1,[1]OUT_TransportEnergyCons!E$4:E$10000))*1000</f>
        <v>1.0450925543488978E-3</v>
      </c>
      <c r="H1977" s="1" cm="1">
        <f t="array" ref="H1977">(SUMPRODUCT(("Var_Cap"=[1]OUT_TransportEnergyCons!$B$4:$B$10000)*1,ISNUMBER(SEARCH("T_b_c*bev*s3",[1]OUT_TransportEnergyCons!$A$4:$A$10000))*1,[1]OUT_TransportEnergyCons!F$4:F$10000))*1000</f>
        <v>1.3144109576572953E-3</v>
      </c>
      <c r="I1977" s="1" cm="1">
        <f t="array" ref="I1977">(SUMPRODUCT(("Var_Cap"=[1]OUT_TransportEnergyCons!$B$4:$B$10000)*1,ISNUMBER(SEARCH("T_b_c*bev*s3",[1]OUT_TransportEnergyCons!$A$4:$A$10000))*1,[1]OUT_TransportEnergyCons!G$4:G$10000))*1000</f>
        <v>0.26789298794193156</v>
      </c>
      <c r="J1977" s="1" cm="1">
        <f t="array" ref="J1977">(SUMPRODUCT(("Var_Cap"=[1]OUT_TransportEnergyCons!$B$4:$B$10000)*1,ISNUMBER(SEARCH("T_b_c*bev*s3",[1]OUT_TransportEnergyCons!$A$4:$A$10000))*1,[1]OUT_TransportEnergyCons!H$4:H$10000))*1000</f>
        <v>0.267380134549138</v>
      </c>
      <c r="K1977" s="1" cm="1">
        <f t="array" ref="K1977">(SUMPRODUCT(("Var_Cap"=[1]OUT_TransportEnergyCons!$B$4:$B$10000)*1,ISNUMBER(SEARCH("T_b_c*bev*s3",[1]OUT_TransportEnergyCons!$A$4:$A$10000))*1,[1]OUT_TransportEnergyCons!I$4:I$10000))*1000</f>
        <v>0.26033126735069101</v>
      </c>
    </row>
    <row r="1978" spans="2:11" x14ac:dyDescent="0.35">
      <c r="B1978" s="5" t="str">
        <f t="shared" si="1311"/>
        <v>SPS1</v>
      </c>
      <c r="C1978" s="5" t="str">
        <f t="shared" si="1312"/>
        <v>CH</v>
      </c>
      <c r="D1978" t="s">
        <v>2013</v>
      </c>
      <c r="E1978" t="s">
        <v>2000</v>
      </c>
      <c r="F1978" s="1" cm="1">
        <f t="array" ref="F1978">(SUMPRODUCT(("Var_Cap"=[1]OUT_TransportEnergyCons!$B$4:$B$10000)*1,ISNUMBER(SEARCH("T_b_c*bev*s4",[1]OUT_TransportEnergyCons!$A$4:$A$10000))*1,[1]OUT_TransportEnergyCons!D$4:D$10000))*1000</f>
        <v>0</v>
      </c>
      <c r="G1978" s="1" cm="1">
        <f t="array" ref="G1978">(SUMPRODUCT(("Var_Cap"=[1]OUT_TransportEnergyCons!$B$4:$B$10000)*1,ISNUMBER(SEARCH("T_b_c*bev*s4",[1]OUT_TransportEnergyCons!$A$4:$A$10000))*1,[1]OUT_TransportEnergyCons!E$4:E$10000))*1000</f>
        <v>8.2929040896106602E-5</v>
      </c>
      <c r="H1978" s="1" cm="1">
        <f t="array" ref="H1978">(SUMPRODUCT(("Var_Cap"=[1]OUT_TransportEnergyCons!$B$4:$B$10000)*1,ISNUMBER(SEARCH("T_b_c*bev*s4",[1]OUT_TransportEnergyCons!$A$4:$A$10000))*1,[1]OUT_TransportEnergyCons!F$4:F$10000))*1000</f>
        <v>1.5828186252077401E-4</v>
      </c>
      <c r="I1978" s="1" cm="1">
        <f t="array" ref="I1978">(SUMPRODUCT(("Var_Cap"=[1]OUT_TransportEnergyCons!$B$4:$B$10000)*1,ISNUMBER(SEARCH("T_b_c*bev*s4",[1]OUT_TransportEnergyCons!$A$4:$A$10000))*1,[1]OUT_TransportEnergyCons!G$4:G$10000))*1000</f>
        <v>1.0582019501920139E-4</v>
      </c>
      <c r="J1978" s="1" cm="1">
        <f t="array" ref="J1978">(SUMPRODUCT(("Var_Cap"=[1]OUT_TransportEnergyCons!$B$4:$B$10000)*1,ISNUMBER(SEARCH("T_b_c*bev*s4",[1]OUT_TransportEnergyCons!$A$4:$A$10000))*1,[1]OUT_TransportEnergyCons!H$4:H$10000))*1000</f>
        <v>2.6938515651689799E-4</v>
      </c>
      <c r="K1978" s="1" cm="1">
        <f t="array" ref="K1978">(SUMPRODUCT(("Var_Cap"=[1]OUT_TransportEnergyCons!$B$4:$B$10000)*1,ISNUMBER(SEARCH("T_b_c*bev*s4",[1]OUT_TransportEnergyCons!$A$4:$A$10000))*1,[1]OUT_TransportEnergyCons!I$4:I$10000))*1000</f>
        <v>1.20075795556928E-4</v>
      </c>
    </row>
    <row r="1979" spans="2:11" x14ac:dyDescent="0.35">
      <c r="B1979" s="5" t="str">
        <f t="shared" si="1311"/>
        <v>SPS1</v>
      </c>
      <c r="C1979" s="5" t="str">
        <f t="shared" si="1312"/>
        <v>CH</v>
      </c>
      <c r="D1979" t="s">
        <v>2014</v>
      </c>
      <c r="E1979" t="s">
        <v>2000</v>
      </c>
      <c r="F1979" s="1" cm="1">
        <f t="array" ref="F1979">(SUMPRODUCT(("Var_Cap"=[1]OUT_TransportEnergyCons!$B$4:$B$10000)*1,ISNUMBER(SEARCH("T_b_c*h2o*s1",[1]OUT_TransportEnergyCons!$A$4:$A$10000))*1,[1]OUT_TransportEnergyCons!D$4:D$10000))*1000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(SUMPRODUCT(("Var_Cap"=[1]OUT_TransportEnergyCons!$B$4:$B$10000)*1,ISNUMBER(SEARCH("T_b_c*h2o*s1",[1]OUT_TransportEnergyCons!$A$4:$A$10000))*1,[1]OUT_TransportEnergyCons!E$4:E$10000))*1000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(SUMPRODUCT(("Var_Cap"=[1]OUT_TransportEnergyCons!$B$4:$B$10000)*1,ISNUMBER(SEARCH("T_b_c*h2o*s1",[1]OUT_TransportEnergyCons!$A$4:$A$10000))*1,[1]OUT_TransportEnergyCons!F$4:F$10000))*1000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(SUMPRODUCT(("Var_Cap"=[1]OUT_TransportEnergyCons!$B$4:$B$10000)*1,ISNUMBER(SEARCH("T_b_c*h2o*s1",[1]OUT_TransportEnergyCons!$A$4:$A$10000))*1,[1]OUT_TransportEnergyCons!G$4:G$10000))*1000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(SUMPRODUCT(("Var_Cap"=[1]OUT_TransportEnergyCons!$B$4:$B$10000)*1,ISNUMBER(SEARCH("T_b_c*h2o*s1",[1]OUT_TransportEnergyCons!$A$4:$A$10000))*1,[1]OUT_TransportEnergyCons!H$4:H$10000))*1000</f>
        <v>-2.1186385691014999E-6</v>
      </c>
      <c r="K1979" s="1" cm="1">
        <f t="array" ref="K1979">(SUMPRODUCT(("Var_Cap"=[1]OUT_TransportEnergyCons!$B$4:$B$10000)*1,ISNUMBER(SEARCH("T_b_c*h2o*s1",[1]OUT_TransportEnergyCons!$A$4:$A$10000))*1,[1]OUT_TransportEnergyCons!I$4:I$10000))*1000</f>
        <v>2.6624164166894098E-6</v>
      </c>
    </row>
    <row r="1980" spans="2:11" x14ac:dyDescent="0.35">
      <c r="B1980" s="5" t="str">
        <f t="shared" si="1311"/>
        <v>SPS1</v>
      </c>
      <c r="C1980" s="5" t="str">
        <f t="shared" si="1312"/>
        <v>CH</v>
      </c>
      <c r="D1980" t="s">
        <v>2015</v>
      </c>
      <c r="E1980" t="s">
        <v>2000</v>
      </c>
      <c r="F1980" s="1" cm="1">
        <f t="array" ref="F1980">(SUMPRODUCT(("Var_Cap"=[1]OUT_TransportEnergyCons!$B$4:$B$10000)*1,ISNUMBER(SEARCH("T_b_c*h2o*s2",[1]OUT_TransportEnergyCons!$A$4:$A$10000))*1,[1]OUT_TransportEnergyCons!D$4:D$10000))*1000</f>
        <v>0</v>
      </c>
      <c r="G1980" s="1" cm="1">
        <f t="array" ref="G1980">(SUMPRODUCT(("Var_Cap"=[1]OUT_TransportEnergyCons!$B$4:$B$10000)*1,ISNUMBER(SEARCH("T_b_c*h2o*s2",[1]OUT_TransportEnergyCons!$A$4:$A$10000))*1,[1]OUT_TransportEnergyCons!E$4:E$10000))*1000</f>
        <v>0</v>
      </c>
      <c r="H1980" s="1" cm="1">
        <f t="array" ref="H1980">(SUMPRODUCT(("Var_Cap"=[1]OUT_TransportEnergyCons!$B$4:$B$10000)*1,ISNUMBER(SEARCH("T_b_c*h2o*s2",[1]OUT_TransportEnergyCons!$A$4:$A$10000))*1,[1]OUT_TransportEnergyCons!F$4:F$10000))*1000</f>
        <v>0</v>
      </c>
      <c r="I1980" s="1" cm="1">
        <f t="array" ref="I1980">(SUMPRODUCT(("Var_Cap"=[1]OUT_TransportEnergyCons!$B$4:$B$10000)*1,ISNUMBER(SEARCH("T_b_c*h2o*s2",[1]OUT_TransportEnergyCons!$A$4:$A$10000))*1,[1]OUT_TransportEnergyCons!G$4:G$10000))*1000</f>
        <v>1.1423576099780599E-5</v>
      </c>
      <c r="J1980" s="1" cm="1">
        <f t="array" ref="J1980">(SUMPRODUCT(("Var_Cap"=[1]OUT_TransportEnergyCons!$B$4:$B$10000)*1,ISNUMBER(SEARCH("T_b_c*h2o*s2",[1]OUT_TransportEnergyCons!$A$4:$A$10000))*1,[1]OUT_TransportEnergyCons!H$4:H$10000))*1000</f>
        <v>-1.143399499024005E-5</v>
      </c>
      <c r="K1980" s="1" cm="1">
        <f t="array" ref="K1980">(SUMPRODUCT(("Var_Cap"=[1]OUT_TransportEnergyCons!$B$4:$B$10000)*1,ISNUMBER(SEARCH("T_b_c*h2o*s2",[1]OUT_TransportEnergyCons!$A$4:$A$10000))*1,[1]OUT_TransportEnergyCons!I$4:I$10000))*1000</f>
        <v>0</v>
      </c>
    </row>
    <row r="1981" spans="2:11" x14ac:dyDescent="0.35">
      <c r="B1981" s="5" t="str">
        <f t="shared" si="1311"/>
        <v>SPS1</v>
      </c>
      <c r="C1981" s="5" t="str">
        <f t="shared" si="1312"/>
        <v>CH</v>
      </c>
      <c r="D1981" t="s">
        <v>2016</v>
      </c>
      <c r="E1981" t="s">
        <v>2000</v>
      </c>
      <c r="F1981" s="1" cm="1">
        <f t="array" ref="F1981">(SUMPRODUCT(("Var_Cap"=[1]OUT_TransportEnergyCons!$B$4:$B$10000)*1,ISNUMBER(SEARCH("T_b_c*h2o*s3",[1]OUT_TransportEnergyCons!$A$4:$A$10000))*1,[1]OUT_TransportEnergyCons!D$4:D$10000))*1000</f>
        <v>0</v>
      </c>
      <c r="G1981" s="1" cm="1">
        <f t="array" ref="G1981">(SUMPRODUCT(("Var_Cap"=[1]OUT_TransportEnergyCons!$B$4:$B$10000)*1,ISNUMBER(SEARCH("T_b_c*h2o*s3",[1]OUT_TransportEnergyCons!$A$4:$A$10000))*1,[1]OUT_TransportEnergyCons!E$4:E$10000))*1000</f>
        <v>0</v>
      </c>
      <c r="H1981" s="1" cm="1">
        <f t="array" ref="H1981">(SUMPRODUCT(("Var_Cap"=[1]OUT_TransportEnergyCons!$B$4:$B$10000)*1,ISNUMBER(SEARCH("T_b_c*h2o*s3",[1]OUT_TransportEnergyCons!$A$4:$A$10000))*1,[1]OUT_TransportEnergyCons!F$4:F$10000))*1000</f>
        <v>0</v>
      </c>
      <c r="I1981" s="1" cm="1">
        <f t="array" ref="I1981">(SUMPRODUCT(("Var_Cap"=[1]OUT_TransportEnergyCons!$B$4:$B$10000)*1,ISNUMBER(SEARCH("T_b_c*h2o*s3",[1]OUT_TransportEnergyCons!$A$4:$A$10000))*1,[1]OUT_TransportEnergyCons!G$4:G$10000))*1000</f>
        <v>3.3471322680337703E-5</v>
      </c>
      <c r="J1981" s="1" cm="1">
        <f t="array" ref="J1981">(SUMPRODUCT(("Var_Cap"=[1]OUT_TransportEnergyCons!$B$4:$B$10000)*1,ISNUMBER(SEARCH("T_b_c*h2o*s3",[1]OUT_TransportEnergyCons!$A$4:$A$10000))*1,[1]OUT_TransportEnergyCons!H$4:H$10000))*1000</f>
        <v>1.5937781234217102E-5</v>
      </c>
      <c r="K1981" s="1" cm="1">
        <f t="array" ref="K1981">(SUMPRODUCT(("Var_Cap"=[1]OUT_TransportEnergyCons!$B$4:$B$10000)*1,ISNUMBER(SEARCH("T_b_c*h2o*s3",[1]OUT_TransportEnergyCons!$A$4:$A$10000))*1,[1]OUT_TransportEnergyCons!I$4:I$10000))*1000</f>
        <v>5.4590286986826402E-6</v>
      </c>
    </row>
    <row r="1982" spans="2:11" x14ac:dyDescent="0.35">
      <c r="B1982" s="5" t="str">
        <f t="shared" si="1311"/>
        <v>SPS1</v>
      </c>
      <c r="C1982" s="5" t="str">
        <f t="shared" si="1312"/>
        <v>CH</v>
      </c>
      <c r="D1982" t="s">
        <v>2017</v>
      </c>
      <c r="E1982" t="s">
        <v>2000</v>
      </c>
      <c r="F1982" s="1" cm="1">
        <f t="array" ref="F1982">(SUMPRODUCT(("Var_Cap"=[1]OUT_TransportEnergyCons!$B$4:$B$10000)*1,ISNUMBER(SEARCH("T_b_c*h2o*s4",[1]OUT_TransportEnergyCons!$A$4:$A$10000))*1,[1]OUT_TransportEnergyCons!D$4:D$10000))*1000</f>
        <v>0</v>
      </c>
      <c r="G1982" s="1" cm="1">
        <f t="array" ref="G1982">(SUMPRODUCT(("Var_Cap"=[1]OUT_TransportEnergyCons!$B$4:$B$10000)*1,ISNUMBER(SEARCH("T_b_c*h2o*s4",[1]OUT_TransportEnergyCons!$A$4:$A$10000))*1,[1]OUT_TransportEnergyCons!E$4:E$10000))*1000</f>
        <v>0</v>
      </c>
      <c r="H1982" s="1" cm="1">
        <f t="array" ref="H1982">(SUMPRODUCT(("Var_Cap"=[1]OUT_TransportEnergyCons!$B$4:$B$10000)*1,ISNUMBER(SEARCH("T_b_c*h2o*s4",[1]OUT_TransportEnergyCons!$A$4:$A$10000))*1,[1]OUT_TransportEnergyCons!F$4:F$10000))*1000</f>
        <v>0</v>
      </c>
      <c r="I1982" s="1" cm="1">
        <f t="array" ref="I1982">(SUMPRODUCT(("Var_Cap"=[1]OUT_TransportEnergyCons!$B$4:$B$10000)*1,ISNUMBER(SEARCH("T_b_c*h2o*s4",[1]OUT_TransportEnergyCons!$A$4:$A$10000))*1,[1]OUT_TransportEnergyCons!G$4:G$10000))*1000</f>
        <v>0</v>
      </c>
      <c r="J1982" s="1" cm="1">
        <f t="array" ref="J1982">(SUMPRODUCT(("Var_Cap"=[1]OUT_TransportEnergyCons!$B$4:$B$10000)*1,ISNUMBER(SEARCH("T_b_c*h2o*s4",[1]OUT_TransportEnergyCons!$A$4:$A$10000))*1,[1]OUT_TransportEnergyCons!H$4:H$10000))*1000</f>
        <v>0</v>
      </c>
      <c r="K1982" s="1" cm="1">
        <f t="array" ref="K1982">(SUMPRODUCT(("Var_Cap"=[1]OUT_TransportEnergyCons!$B$4:$B$10000)*1,ISNUMBER(SEARCH("T_b_c*h2o*s4",[1]OUT_TransportEnergyCons!$A$4:$A$10000))*1,[1]OUT_TransportEnergyCons!I$4:I$10000))*1000</f>
        <v>0</v>
      </c>
    </row>
    <row r="1983" spans="2:11" x14ac:dyDescent="0.35">
      <c r="B1983" s="5" t="str">
        <f t="shared" si="1311"/>
        <v>SPS1</v>
      </c>
      <c r="C1983" s="5" t="str">
        <f t="shared" si="1312"/>
        <v>CH</v>
      </c>
      <c r="D1983" t="s">
        <v>2018</v>
      </c>
      <c r="E1983" t="s">
        <v>2000</v>
      </c>
      <c r="F1983" s="1" cm="1">
        <f t="array" ref="F1983">(SUMPRODUCT(("Var_Cap"=[1]OUT_TransportEnergyCons!$B$4:$B$10000)*1,ISNUMBER(SEARCH("T_b_c*hyb*DSL*s1",[1]OUT_TransportEnergyCons!$A$4:$A$10000))*1,[1]OUT_TransportEnergyCons!D$4:D$10000))*1000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(SUMPRODUCT(("Var_Cap"=[1]OUT_TransportEnergyCons!$B$4:$B$10000)*1,ISNUMBER(SEARCH("T_b_c*hyb*DSL*s1",[1]OUT_TransportEnergyCons!$A$4:$A$10000))*1,[1]OUT_TransportEnergyCons!E$4:E$10000))*1000</f>
        <v>4.1460383763138701E-3</v>
      </c>
      <c r="H1983" s="1" cm="1">
        <f t="array" ref="H1983">(SUMPRODUCT(("Var_Cap"=[1]OUT_TransportEnergyCons!$B$4:$B$10000)*1,ISNUMBER(SEARCH("T_b_c*hyb*DSL*s1",[1]OUT_TransportEnergyCons!$A$4:$A$10000))*1,[1]OUT_TransportEnergyCons!F$4:F$10000))*1000</f>
        <v>4.9001750685803E-3</v>
      </c>
      <c r="I1983" s="1" cm="1">
        <f t="array" ref="I1983">(SUMPRODUCT(("Var_Cap"=[1]OUT_TransportEnergyCons!$B$4:$B$10000)*1,ISNUMBER(SEARCH("T_b_c*hyb*DSL*s1",[1]OUT_TransportEnergyCons!$A$4:$A$10000))*1,[1]OUT_TransportEnergyCons!G$4:G$10000))*1000</f>
        <v>1.0062877419680294E-5</v>
      </c>
      <c r="J1983" s="1" cm="1">
        <f t="array" ref="J1983">(SUMPRODUCT(("Var_Cap"=[1]OUT_TransportEnergyCons!$B$4:$B$10000)*1,ISNUMBER(SEARCH("T_b_c*hyb*DSL*s1",[1]OUT_TransportEnergyCons!$A$4:$A$10000))*1,[1]OUT_TransportEnergyCons!H$4:H$10000))*1000</f>
        <v>4.9533449834147296E-5</v>
      </c>
      <c r="K1983" s="1" cm="1">
        <f t="array" ref="K1983">(SUMPRODUCT(("Var_Cap"=[1]OUT_TransportEnergyCons!$B$4:$B$10000)*1,ISNUMBER(SEARCH("T_b_c*hyb*DSL*s1",[1]OUT_TransportEnergyCons!$A$4:$A$10000))*1,[1]OUT_TransportEnergyCons!I$4:I$10000))*1000</f>
        <v>4.0106182571633496E-5</v>
      </c>
    </row>
    <row r="1984" spans="2:11" x14ac:dyDescent="0.35">
      <c r="B1984" s="5" t="str">
        <f t="shared" si="1311"/>
        <v>SPS1</v>
      </c>
      <c r="C1984" s="5" t="str">
        <f t="shared" si="1312"/>
        <v>CH</v>
      </c>
      <c r="D1984" t="s">
        <v>2019</v>
      </c>
      <c r="E1984" t="s">
        <v>2000</v>
      </c>
      <c r="F1984" s="1" cm="1">
        <f t="array" ref="F1984">(SUMPRODUCT(("Var_Cap"=[1]OUT_TransportEnergyCons!$B$4:$B$10000)*1,ISNUMBER(SEARCH("T_b_c*hyb*DSL*s2",[1]OUT_TransportEnergyCons!$A$4:$A$10000))*1,[1]OUT_TransportEnergyCons!D$4:D$10000))*1000</f>
        <v>0</v>
      </c>
      <c r="G1984" s="1" cm="1">
        <f t="array" ref="G1984">(SUMPRODUCT(("Var_Cap"=[1]OUT_TransportEnergyCons!$B$4:$B$10000)*1,ISNUMBER(SEARCH("T_b_c*hyb*DSL*s2",[1]OUT_TransportEnergyCons!$A$4:$A$10000))*1,[1]OUT_TransportEnergyCons!E$4:E$10000))*1000</f>
        <v>2.8027460304618201E-4</v>
      </c>
      <c r="H1984" s="1" cm="1">
        <f t="array" ref="H1984">(SUMPRODUCT(("Var_Cap"=[1]OUT_TransportEnergyCons!$B$4:$B$10000)*1,ISNUMBER(SEARCH("T_b_c*hyb*DSL*s2",[1]OUT_TransportEnergyCons!$A$4:$A$10000))*1,[1]OUT_TransportEnergyCons!F$4:F$10000))*1000</f>
        <v>5.1148118871466894E-4</v>
      </c>
      <c r="I1984" s="1" cm="1">
        <f t="array" ref="I1984">(SUMPRODUCT(("Var_Cap"=[1]OUT_TransportEnergyCons!$B$4:$B$10000)*1,ISNUMBER(SEARCH("T_b_c*hyb*DSL*s2",[1]OUT_TransportEnergyCons!$A$4:$A$10000))*1,[1]OUT_TransportEnergyCons!G$4:G$10000))*1000</f>
        <v>9.7137801613389703E-6</v>
      </c>
      <c r="J1984" s="1" cm="1">
        <f t="array" ref="J1984">(SUMPRODUCT(("Var_Cap"=[1]OUT_TransportEnergyCons!$B$4:$B$10000)*1,ISNUMBER(SEARCH("T_b_c*hyb*DSL*s2",[1]OUT_TransportEnergyCons!$A$4:$A$10000))*1,[1]OUT_TransportEnergyCons!H$4:H$10000))*1000</f>
        <v>5.2773379919352899E-5</v>
      </c>
      <c r="K1984" s="1" cm="1">
        <f t="array" ref="K1984">(SUMPRODUCT(("Var_Cap"=[1]OUT_TransportEnergyCons!$B$4:$B$10000)*1,ISNUMBER(SEARCH("T_b_c*hyb*DSL*s2",[1]OUT_TransportEnergyCons!$A$4:$A$10000))*1,[1]OUT_TransportEnergyCons!I$4:I$10000))*1000</f>
        <v>3.7665209877421296E-5</v>
      </c>
    </row>
    <row r="1985" spans="2:11" x14ac:dyDescent="0.35">
      <c r="B1985" s="5" t="str">
        <f t="shared" si="1311"/>
        <v>SPS1</v>
      </c>
      <c r="C1985" s="5" t="str">
        <f t="shared" si="1312"/>
        <v>CH</v>
      </c>
      <c r="D1985" t="s">
        <v>2020</v>
      </c>
      <c r="E1985" t="s">
        <v>2000</v>
      </c>
      <c r="F1985" s="1" cm="1">
        <f t="array" ref="F1985">(SUMPRODUCT(("Var_Cap"=[1]OUT_TransportEnergyCons!$B$4:$B$10000)*1,ISNUMBER(SEARCH("T_b_c*hyb*DSL*s3",[1]OUT_TransportEnergyCons!$A$4:$A$10000))*1,[1]OUT_TransportEnergyCons!D$4:D$10000))*1000</f>
        <v>0</v>
      </c>
      <c r="G1985" s="1" cm="1">
        <f t="array" ref="G1985">(SUMPRODUCT(("Var_Cap"=[1]OUT_TransportEnergyCons!$B$4:$B$10000)*1,ISNUMBER(SEARCH("T_b_c*hyb*DSL*s3",[1]OUT_TransportEnergyCons!$A$4:$A$10000))*1,[1]OUT_TransportEnergyCons!E$4:E$10000))*1000</f>
        <v>1.1990312568851199E-4</v>
      </c>
      <c r="H1985" s="1" cm="1">
        <f t="array" ref="H1985">(SUMPRODUCT(("Var_Cap"=[1]OUT_TransportEnergyCons!$B$4:$B$10000)*1,ISNUMBER(SEARCH("T_b_c*hyb*DSL*s3",[1]OUT_TransportEnergyCons!$A$4:$A$10000))*1,[1]OUT_TransportEnergyCons!F$4:F$10000))*1000</f>
        <v>2.10225574674438E-4</v>
      </c>
      <c r="I1985" s="1" cm="1">
        <f t="array" ref="I1985">(SUMPRODUCT(("Var_Cap"=[1]OUT_TransportEnergyCons!$B$4:$B$10000)*1,ISNUMBER(SEARCH("T_b_c*hyb*DSL*s3",[1]OUT_TransportEnergyCons!$A$4:$A$10000))*1,[1]OUT_TransportEnergyCons!G$4:G$10000))*1000</f>
        <v>7.3259989855052008E-5</v>
      </c>
      <c r="J1985" s="1" cm="1">
        <f t="array" ref="J1985">(SUMPRODUCT(("Var_Cap"=[1]OUT_TransportEnergyCons!$B$4:$B$10000)*1,ISNUMBER(SEARCH("T_b_c*hyb*DSL*s3",[1]OUT_TransportEnergyCons!$A$4:$A$10000))*1,[1]OUT_TransportEnergyCons!H$4:H$10000))*1000</f>
        <v>0</v>
      </c>
      <c r="K1985" s="1" cm="1">
        <f t="array" ref="K1985">(SUMPRODUCT(("Var_Cap"=[1]OUT_TransportEnergyCons!$B$4:$B$10000)*1,ISNUMBER(SEARCH("T_b_c*hyb*DSL*s3",[1]OUT_TransportEnergyCons!$A$4:$A$10000))*1,[1]OUT_TransportEnergyCons!I$4:I$10000))*1000</f>
        <v>0</v>
      </c>
    </row>
    <row r="1986" spans="2:11" x14ac:dyDescent="0.35">
      <c r="B1986" s="5" t="str">
        <f t="shared" si="1311"/>
        <v>SPS1</v>
      </c>
      <c r="C1986" s="5" t="str">
        <f t="shared" si="1312"/>
        <v>CH</v>
      </c>
      <c r="D1986" t="s">
        <v>2021</v>
      </c>
      <c r="E1986" t="s">
        <v>2000</v>
      </c>
      <c r="F1986" s="1" cm="1">
        <f t="array" ref="F1986">(SUMPRODUCT(("Var_Cap"=[1]OUT_TransportEnergyCons!$B$4:$B$10000)*1,ISNUMBER(SEARCH("T_b_c*hyb*DSL*s4",[1]OUT_TransportEnergyCons!$A$4:$A$10000))*1,[1]OUT_TransportEnergyCons!D$4:D$10000))*1000</f>
        <v>0</v>
      </c>
      <c r="G1986" s="1" cm="1">
        <f t="array" ref="G1986">(SUMPRODUCT(("Var_Cap"=[1]OUT_TransportEnergyCons!$B$4:$B$10000)*1,ISNUMBER(SEARCH("T_b_c*hyb*DSL*s4",[1]OUT_TransportEnergyCons!$A$4:$A$10000))*1,[1]OUT_TransportEnergyCons!E$4:E$10000))*1000</f>
        <v>1.4956827869647198E-5</v>
      </c>
      <c r="H1986" s="1" cm="1">
        <f t="array" ref="H1986">(SUMPRODUCT(("Var_Cap"=[1]OUT_TransportEnergyCons!$B$4:$B$10000)*1,ISNUMBER(SEARCH("T_b_c*hyb*DSL*s4",[1]OUT_TransportEnergyCons!$A$4:$A$10000))*1,[1]OUT_TransportEnergyCons!F$4:F$10000))*1000</f>
        <v>2.9249498052519098E-5</v>
      </c>
      <c r="I1986" s="1" cm="1">
        <f t="array" ref="I1986">(SUMPRODUCT(("Var_Cap"=[1]OUT_TransportEnergyCons!$B$4:$B$10000)*1,ISNUMBER(SEARCH("T_b_c*hyb*DSL*s4",[1]OUT_TransportEnergyCons!$A$4:$A$10000))*1,[1]OUT_TransportEnergyCons!G$4:G$10000))*1000</f>
        <v>6.5738789979073813E-6</v>
      </c>
      <c r="J1986" s="1" cm="1">
        <f t="array" ref="J1986">(SUMPRODUCT(("Var_Cap"=[1]OUT_TransportEnergyCons!$B$4:$B$10000)*1,ISNUMBER(SEARCH("T_b_c*hyb*DSL*s4",[1]OUT_TransportEnergyCons!$A$4:$A$10000))*1,[1]OUT_TransportEnergyCons!H$4:H$10000))*1000</f>
        <v>0</v>
      </c>
      <c r="K1986" s="1" cm="1">
        <f t="array" ref="K1986">(SUMPRODUCT(("Var_Cap"=[1]OUT_TransportEnergyCons!$B$4:$B$10000)*1,ISNUMBER(SEARCH("T_b_c*hyb*DSL*s4",[1]OUT_TransportEnergyCons!$A$4:$A$10000))*1,[1]OUT_TransportEnergyCons!I$4:I$10000))*1000</f>
        <v>0</v>
      </c>
    </row>
    <row r="1987" spans="2:11" x14ac:dyDescent="0.35">
      <c r="B1987" s="5" t="str">
        <f t="shared" si="1311"/>
        <v>SPS1</v>
      </c>
      <c r="C1987" s="5" t="str">
        <f t="shared" si="1312"/>
        <v>CH</v>
      </c>
      <c r="D1987" t="s">
        <v>2022</v>
      </c>
      <c r="E1987" t="s">
        <v>2000</v>
      </c>
      <c r="F1987" s="1" cm="1">
        <f t="array" ref="F1987">(SUMPRODUCT(("Var_Cap"=[1]OUT_TransportEnergyCons!$B$4:$B$10000)*1,ISNUMBER(SEARCH("T_b_c*ICE*DSL*ext",[1]OUT_TransportEnergyCons!$A$4:$A$10000))*1,[1]OUT_TransportEnergyCons!D$4:D$10000))*1000</f>
        <v>1.3033204752126699</v>
      </c>
      <c r="G1987" s="1" cm="1">
        <f t="array" ref="G1987">(SUMPRODUCT(("Var_Cap"=[1]OUT_TransportEnergyCons!$B$4:$B$10000)*1,ISNUMBER(SEARCH("T_b_c*ICE*DSL*ext",[1]OUT_TransportEnergyCons!$A$4:$A$10000))*1,[1]OUT_TransportEnergyCons!E$4:E$10000))*1000</f>
        <v>1.0426563801701401</v>
      </c>
      <c r="H1987" s="1" cm="1">
        <f t="array" ref="H1987">(SUMPRODUCT(("Var_Cap"=[1]OUT_TransportEnergyCons!$B$4:$B$10000)*1,ISNUMBER(SEARCH("T_b_c*ICE*DSL*ext",[1]OUT_TransportEnergyCons!$A$4:$A$10000))*1,[1]OUT_TransportEnergyCons!F$4:F$10000))*1000</f>
        <v>0.65166023760633496</v>
      </c>
      <c r="I1987" s="1" cm="1">
        <f t="array" ref="I1987">(SUMPRODUCT(("Var_Cap"=[1]OUT_TransportEnergyCons!$B$4:$B$10000)*1,ISNUMBER(SEARCH("T_b_c*ICE*DSL*ext",[1]OUT_TransportEnergyCons!$A$4:$A$10000))*1,[1]OUT_TransportEnergyCons!G$4:G$10000))*1000</f>
        <v>0</v>
      </c>
      <c r="J1987" s="1" cm="1">
        <f t="array" ref="J1987">(SUMPRODUCT(("Var_Cap"=[1]OUT_TransportEnergyCons!$B$4:$B$10000)*1,ISNUMBER(SEARCH("T_b_c*ICE*DSL*ext",[1]OUT_TransportEnergyCons!$A$4:$A$10000))*1,[1]OUT_TransportEnergyCons!H$4:H$10000))*1000</f>
        <v>0</v>
      </c>
      <c r="K1987" s="1" cm="1">
        <f t="array" ref="K1987">(SUMPRODUCT(("Var_Cap"=[1]OUT_TransportEnergyCons!$B$4:$B$10000)*1,ISNUMBER(SEARCH("T_b_c*ICE*DSL*ext",[1]OUT_TransportEnergyCons!$A$4:$A$10000))*1,[1]OUT_TransportEnergyCons!I$4:I$10000))*1000</f>
        <v>0</v>
      </c>
    </row>
    <row r="1988" spans="2:11" x14ac:dyDescent="0.35">
      <c r="B1988" s="5" t="str">
        <f t="shared" si="1311"/>
        <v>SPS1</v>
      </c>
      <c r="C1988" s="5" t="str">
        <f t="shared" si="1312"/>
        <v>CH</v>
      </c>
      <c r="D1988" t="s">
        <v>2023</v>
      </c>
      <c r="E1988" t="s">
        <v>2000</v>
      </c>
      <c r="F1988" s="1" cm="1">
        <f t="array" ref="F1988">(SUMPRODUCT(("Var_Cap"=[1]OUT_TransportEnergyCons!$B$4:$B$10000)*1,ISNUMBER(SEARCH("T_b_c*ICE*DSL*s1",[1]OUT_TransportEnergyCons!$A$4:$A$10000))*1,[1]OUT_TransportEnergyCons!D$4:D$10000))*1000</f>
        <v>0.30580528846153798</v>
      </c>
      <c r="G1988" s="1" cm="1">
        <f t="array" ref="G1988">(SUMPRODUCT(("Var_Cap"=[1]OUT_TransportEnergyCons!$B$4:$B$10000)*1,ISNUMBER(SEARCH("T_b_c*ICE*DSL*s1",[1]OUT_TransportEnergyCons!$A$4:$A$10000))*1,[1]OUT_TransportEnergyCons!E$4:E$10000))*1000</f>
        <v>0.84732096846731941</v>
      </c>
      <c r="H1988" s="1" cm="1">
        <f t="array" ref="H1988">(SUMPRODUCT(("Var_Cap"=[1]OUT_TransportEnergyCons!$B$4:$B$10000)*1,ISNUMBER(SEARCH("T_b_c*ICE*DSL*s1",[1]OUT_TransportEnergyCons!$A$4:$A$10000))*1,[1]OUT_TransportEnergyCons!F$4:F$10000))*1000</f>
        <v>1.044972116626393</v>
      </c>
      <c r="I1988" s="1" cm="1">
        <f t="array" ref="I1988">(SUMPRODUCT(("Var_Cap"=[1]OUT_TransportEnergyCons!$B$4:$B$10000)*1,ISNUMBER(SEARCH("T_b_c*ICE*DSL*s1",[1]OUT_TransportEnergyCons!$A$4:$A$10000))*1,[1]OUT_TransportEnergyCons!G$4:G$10000))*1000</f>
        <v>-5.2849223749432822E-6</v>
      </c>
      <c r="J1988" s="1" cm="1">
        <f t="array" ref="J1988">(SUMPRODUCT(("Var_Cap"=[1]OUT_TransportEnergyCons!$B$4:$B$10000)*1,ISNUMBER(SEARCH("T_b_c*ICE*DSL*s1",[1]OUT_TransportEnergyCons!$A$4:$A$10000))*1,[1]OUT_TransportEnergyCons!H$4:H$10000))*1000</f>
        <v>4.2984483355439706E-5</v>
      </c>
      <c r="K1988" s="1" cm="1">
        <f t="array" ref="K1988">(SUMPRODUCT(("Var_Cap"=[1]OUT_TransportEnergyCons!$B$4:$B$10000)*1,ISNUMBER(SEARCH("T_b_c*ICE*DSL*s1",[1]OUT_TransportEnergyCons!$A$4:$A$10000))*1,[1]OUT_TransportEnergyCons!I$4:I$10000))*1000</f>
        <v>3.3901238437929705E-5</v>
      </c>
    </row>
    <row r="1989" spans="2:11" x14ac:dyDescent="0.35">
      <c r="B1989" s="5" t="str">
        <f t="shared" si="1311"/>
        <v>SPS1</v>
      </c>
      <c r="C1989" s="5" t="str">
        <f t="shared" si="1312"/>
        <v>CH</v>
      </c>
      <c r="D1989" t="s">
        <v>2024</v>
      </c>
      <c r="E1989" t="s">
        <v>2000</v>
      </c>
      <c r="F1989" s="1" cm="1">
        <f t="array" ref="F1989">(SUMPRODUCT(("Var_Cap"=[1]OUT_TransportEnergyCons!$B$4:$B$10000)*1,ISNUMBER(SEARCH("T_b_c*ICE*DSL*s2",[1]OUT_TransportEnergyCons!$A$4:$A$10000))*1,[1]OUT_TransportEnergyCons!D$4:D$10000))*1000</f>
        <v>0.98784375000000002</v>
      </c>
      <c r="G1989" s="1" cm="1">
        <f t="array" ref="G1989">(SUMPRODUCT(("Var_Cap"=[1]OUT_TransportEnergyCons!$B$4:$B$10000)*1,ISNUMBER(SEARCH("T_b_c*ICE*DSL*s2",[1]OUT_TransportEnergyCons!$A$4:$A$10000))*1,[1]OUT_TransportEnergyCons!E$4:E$10000))*1000</f>
        <v>0.93969964944735374</v>
      </c>
      <c r="H1989" s="1" cm="1">
        <f t="array" ref="H1989">(SUMPRODUCT(("Var_Cap"=[1]OUT_TransportEnergyCons!$B$4:$B$10000)*1,ISNUMBER(SEARCH("T_b_c*ICE*DSL*s2",[1]OUT_TransportEnergyCons!$A$4:$A$10000))*1,[1]OUT_TransportEnergyCons!F$4:F$10000))*1000</f>
        <v>0.94052227224822105</v>
      </c>
      <c r="I1989" s="1" cm="1">
        <f t="array" ref="I1989">(SUMPRODUCT(("Var_Cap"=[1]OUT_TransportEnergyCons!$B$4:$B$10000)*1,ISNUMBER(SEARCH("T_b_c*ICE*DSL*s2",[1]OUT_TransportEnergyCons!$A$4:$A$10000))*1,[1]OUT_TransportEnergyCons!G$4:G$10000))*1000</f>
        <v>-5.9059447666577614E-6</v>
      </c>
      <c r="J1989" s="1" cm="1">
        <f t="array" ref="J1989">(SUMPRODUCT(("Var_Cap"=[1]OUT_TransportEnergyCons!$B$4:$B$10000)*1,ISNUMBER(SEARCH("T_b_c*ICE*DSL*s2",[1]OUT_TransportEnergyCons!$A$4:$A$10000))*1,[1]OUT_TransportEnergyCons!H$4:H$10000))*1000</f>
        <v>3.7868376414977398E-5</v>
      </c>
      <c r="K1989" s="1" cm="1">
        <f t="array" ref="K1989">(SUMPRODUCT(("Var_Cap"=[1]OUT_TransportEnergyCons!$B$4:$B$10000)*1,ISNUMBER(SEARCH("T_b_c*ICE*DSL*s2",[1]OUT_TransportEnergyCons!$A$4:$A$10000))*1,[1]OUT_TransportEnergyCons!I$4:I$10000))*1000</f>
        <v>3.0714596333641705E-5</v>
      </c>
    </row>
    <row r="1990" spans="2:11" x14ac:dyDescent="0.35">
      <c r="B1990" s="5" t="str">
        <f t="shared" si="1311"/>
        <v>SPS1</v>
      </c>
      <c r="C1990" s="5" t="str">
        <f t="shared" si="1312"/>
        <v>CH</v>
      </c>
      <c r="D1990" t="s">
        <v>2025</v>
      </c>
      <c r="E1990" t="s">
        <v>2000</v>
      </c>
      <c r="F1990" s="1" cm="1">
        <f t="array" ref="F1990">(SUMPRODUCT(("Var_Cap"=[1]OUT_TransportEnergyCons!$B$4:$B$10000)*1,ISNUMBER(SEARCH("T_b_c*ICE*DSL*s3",[1]OUT_TransportEnergyCons!$A$4:$A$10000))*1,[1]OUT_TransportEnergyCons!D$4:D$10000))*1000</f>
        <v>0.20197158912156526</v>
      </c>
      <c r="G1990" s="1" cm="1">
        <f t="array" ref="G1990">(SUMPRODUCT(("Var_Cap"=[1]OUT_TransportEnergyCons!$B$4:$B$10000)*1,ISNUMBER(SEARCH("T_b_c*ICE*DSL*s3",[1]OUT_TransportEnergyCons!$A$4:$A$10000))*1,[1]OUT_TransportEnergyCons!E$4:E$10000))*1000</f>
        <v>0.200602626917952</v>
      </c>
      <c r="H1990" s="1" cm="1">
        <f t="array" ref="H1990">(SUMPRODUCT(("Var_Cap"=[1]OUT_TransportEnergyCons!$B$4:$B$10000)*1,ISNUMBER(SEARCH("T_b_c*ICE*DSL*s3",[1]OUT_TransportEnergyCons!$A$4:$A$10000))*1,[1]OUT_TransportEnergyCons!F$4:F$10000))*1000</f>
        <v>0.20084240144500051</v>
      </c>
      <c r="I1990" s="1" cm="1">
        <f t="array" ref="I1990">(SUMPRODUCT(("Var_Cap"=[1]OUT_TransportEnergyCons!$B$4:$B$10000)*1,ISNUMBER(SEARCH("T_b_c*ICE*DSL*s3",[1]OUT_TransportEnergyCons!$A$4:$A$10000))*1,[1]OUT_TransportEnergyCons!G$4:G$10000))*1000</f>
        <v>-3.4163651599399469E-6</v>
      </c>
      <c r="J1990" s="1" cm="1">
        <f t="array" ref="J1990">(SUMPRODUCT(("Var_Cap"=[1]OUT_TransportEnergyCons!$B$4:$B$10000)*1,ISNUMBER(SEARCH("T_b_c*ICE*DSL*s3",[1]OUT_TransportEnergyCons!$A$4:$A$10000))*1,[1]OUT_TransportEnergyCons!H$4:H$10000))*1000</f>
        <v>0</v>
      </c>
      <c r="K1990" s="1" cm="1">
        <f t="array" ref="K1990">(SUMPRODUCT(("Var_Cap"=[1]OUT_TransportEnergyCons!$B$4:$B$10000)*1,ISNUMBER(SEARCH("T_b_c*ICE*DSL*s3",[1]OUT_TransportEnergyCons!$A$4:$A$10000))*1,[1]OUT_TransportEnergyCons!I$4:I$10000))*1000</f>
        <v>0</v>
      </c>
    </row>
    <row r="1991" spans="2:11" x14ac:dyDescent="0.35">
      <c r="B1991" s="5" t="str">
        <f t="shared" si="1311"/>
        <v>SPS1</v>
      </c>
      <c r="C1991" s="5" t="str">
        <f t="shared" si="1312"/>
        <v>CH</v>
      </c>
      <c r="D1991" t="s">
        <v>2026</v>
      </c>
      <c r="E1991" t="s">
        <v>2000</v>
      </c>
      <c r="F1991" s="1" cm="1">
        <f t="array" ref="F1991">(SUMPRODUCT(("Var_Cap"=[1]OUT_TransportEnergyCons!$B$4:$B$10000)*1,ISNUMBER(SEARCH("T_b_c*ICE*DSL*s4",[1]OUT_TransportEnergyCons!$A$4:$A$10000))*1,[1]OUT_TransportEnergyCons!D$4:D$10000))*1000</f>
        <v>1.1130968308435204E-2</v>
      </c>
      <c r="G1991" s="1" cm="1">
        <f t="array" ref="G1991">(SUMPRODUCT(("Var_Cap"=[1]OUT_TransportEnergyCons!$B$4:$B$10000)*1,ISNUMBER(SEARCH("T_b_c*ICE*DSL*s4",[1]OUT_TransportEnergyCons!$A$4:$A$10000))*1,[1]OUT_TransportEnergyCons!E$4:E$10000))*1000</f>
        <v>1.1948354051616355E-4</v>
      </c>
      <c r="H1991" s="1" cm="1">
        <f t="array" ref="H1991">(SUMPRODUCT(("Var_Cap"=[1]OUT_TransportEnergyCons!$B$4:$B$10000)*1,ISNUMBER(SEARCH("T_b_c*ICE*DSL*s4",[1]OUT_TransportEnergyCons!$A$4:$A$10000))*1,[1]OUT_TransportEnergyCons!F$4:F$10000))*1000</f>
        <v>1.8231099828523603E-4</v>
      </c>
      <c r="I1991" s="1" cm="1">
        <f t="array" ref="I1991">(SUMPRODUCT(("Var_Cap"=[1]OUT_TransportEnergyCons!$B$4:$B$10000)*1,ISNUMBER(SEARCH("T_b_c*ICE*DSL*s4",[1]OUT_TransportEnergyCons!$A$4:$A$10000))*1,[1]OUT_TransportEnergyCons!G$4:G$10000))*1000</f>
        <v>-5.9571834991393969E-6</v>
      </c>
      <c r="J1991" s="1" cm="1">
        <f t="array" ref="J1991">(SUMPRODUCT(("Var_Cap"=[1]OUT_TransportEnergyCons!$B$4:$B$10000)*1,ISNUMBER(SEARCH("T_b_c*ICE*DSL*s4",[1]OUT_TransportEnergyCons!$A$4:$A$10000))*1,[1]OUT_TransportEnergyCons!H$4:H$10000))*1000</f>
        <v>0</v>
      </c>
      <c r="K1991" s="1" cm="1">
        <f t="array" ref="K1991">(SUMPRODUCT(("Var_Cap"=[1]OUT_TransportEnergyCons!$B$4:$B$10000)*1,ISNUMBER(SEARCH("T_b_c*ICE*DSL*s4",[1]OUT_TransportEnergyCons!$A$4:$A$10000))*1,[1]OUT_TransportEnergyCons!I$4:I$10000))*1000</f>
        <v>0</v>
      </c>
    </row>
    <row r="1992" spans="2:11" x14ac:dyDescent="0.35">
      <c r="B1992" s="5" t="str">
        <f t="shared" si="1311"/>
        <v>SPS1</v>
      </c>
      <c r="C1992" s="5" t="str">
        <f t="shared" si="1312"/>
        <v>CH</v>
      </c>
      <c r="D1992" t="s">
        <v>2027</v>
      </c>
      <c r="E1992" t="s">
        <v>2000</v>
      </c>
      <c r="F1992" s="1" cm="1">
        <f t="array" ref="F1992">(SUMPRODUCT(("Var_Cap"=[1]OUT_TransportEnergyCons!$B$4:$B$10000)*1,ISNUMBER(SEARCH("T_b_c*ICE*nga*ext",[1]OUT_TransportEnergyCons!$A$4:$A$10000))*1,[1]OUT_TransportEnergyCons!D$4:D$10000))*1000</f>
        <v>2.97227926078029E-2</v>
      </c>
      <c r="G1992" s="1" cm="1">
        <f t="array" ref="G1992">(SUMPRODUCT(("Var_Cap"=[1]OUT_TransportEnergyCons!$B$4:$B$10000)*1,ISNUMBER(SEARCH("T_b_c*ICE*nga*ext",[1]OUT_TransportEnergyCons!$A$4:$A$10000))*1,[1]OUT_TransportEnergyCons!E$4:E$10000))*1000</f>
        <v>2.37782340862423E-2</v>
      </c>
      <c r="H1992" s="1" cm="1">
        <f t="array" ref="H1992">(SUMPRODUCT(("Var_Cap"=[1]OUT_TransportEnergyCons!$B$4:$B$10000)*1,ISNUMBER(SEARCH("T_b_c*ICE*nga*ext",[1]OUT_TransportEnergyCons!$A$4:$A$10000))*1,[1]OUT_TransportEnergyCons!F$4:F$10000))*1000</f>
        <v>1.4861396303901497E-2</v>
      </c>
      <c r="I1992" s="1" cm="1">
        <f t="array" ref="I1992">(SUMPRODUCT(("Var_Cap"=[1]OUT_TransportEnergyCons!$B$4:$B$10000)*1,ISNUMBER(SEARCH("T_b_c*ICE*nga*ext",[1]OUT_TransportEnergyCons!$A$4:$A$10000))*1,[1]OUT_TransportEnergyCons!G$4:G$10000))*1000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(SUMPRODUCT(("Var_Cap"=[1]OUT_TransportEnergyCons!$B$4:$B$10000)*1,ISNUMBER(SEARCH("T_b_c*ICE*nga*ext",[1]OUT_TransportEnergyCons!$A$4:$A$10000))*1,[1]OUT_TransportEnergyCons!H$4:H$10000))*1000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(SUMPRODUCT(("Var_Cap"=[1]OUT_TransportEnergyCons!$B$4:$B$10000)*1,ISNUMBER(SEARCH("T_b_c*ICE*nga*ext",[1]OUT_TransportEnergyCons!$A$4:$A$10000))*1,[1]OUT_TransportEnergyCons!I$4:I$10000))*1000</f>
        <v>0</v>
      </c>
    </row>
    <row r="1993" spans="2:11" x14ac:dyDescent="0.35">
      <c r="B1993" s="5" t="str">
        <f t="shared" si="1311"/>
        <v>SPS1</v>
      </c>
      <c r="C1993" s="5" t="str">
        <f t="shared" si="1312"/>
        <v>CH</v>
      </c>
      <c r="D1993" t="s">
        <v>2028</v>
      </c>
      <c r="E1993" t="s">
        <v>2000</v>
      </c>
      <c r="F1993" s="1" cm="1">
        <f t="array" ref="F1993">(SUMPRODUCT(("Var_Cap"=[1]OUT_TransportEnergyCons!$B$4:$B$10000)*1,ISNUMBER(SEARCH("T_b_c*ICE*nga*s1",[1]OUT_TransportEnergyCons!$A$4:$A$10000))*1,[1]OUT_TransportEnergyCons!D$4:D$10000))*1000</f>
        <v>0</v>
      </c>
      <c r="G1993" s="1" cm="1">
        <f t="array" ref="G1993">(SUMPRODUCT(("Var_Cap"=[1]OUT_TransportEnergyCons!$B$4:$B$10000)*1,ISNUMBER(SEARCH("T_b_c*ICE*nga*s1",[1]OUT_TransportEnergyCons!$A$4:$A$10000))*1,[1]OUT_TransportEnergyCons!E$4:E$10000))*1000</f>
        <v>4.3560818294837301E-4</v>
      </c>
      <c r="H1993" s="1" cm="1">
        <f t="array" ref="H1993">(SUMPRODUCT(("Var_Cap"=[1]OUT_TransportEnergyCons!$B$4:$B$10000)*1,ISNUMBER(SEARCH("T_b_c*ICE*nga*s1",[1]OUT_TransportEnergyCons!$A$4:$A$10000))*1,[1]OUT_TransportEnergyCons!F$4:F$10000))*1000</f>
        <v>1.0328725551883801E-3</v>
      </c>
      <c r="I1993" s="1" cm="1">
        <f t="array" ref="I1993">(SUMPRODUCT(("Var_Cap"=[1]OUT_TransportEnergyCons!$B$4:$B$10000)*1,ISNUMBER(SEARCH("T_b_c*ICE*nga*s1",[1]OUT_TransportEnergyCons!$A$4:$A$10000))*1,[1]OUT_TransportEnergyCons!G$4:G$10000))*1000</f>
        <v>1.0134717222901124E-6</v>
      </c>
      <c r="J1993" s="1" cm="1">
        <f t="array" ref="J1993">(SUMPRODUCT(("Var_Cap"=[1]OUT_TransportEnergyCons!$B$4:$B$10000)*1,ISNUMBER(SEARCH("T_b_c*ICE*nga*s1",[1]OUT_TransportEnergyCons!$A$4:$A$10000))*1,[1]OUT_TransportEnergyCons!H$4:H$10000))*1000</f>
        <v>2.4251366397961496E-5</v>
      </c>
      <c r="K1993" s="1" cm="1">
        <f t="array" ref="K1993">(SUMPRODUCT(("Var_Cap"=[1]OUT_TransportEnergyCons!$B$4:$B$10000)*1,ISNUMBER(SEARCH("T_b_c*ICE*nga*s1",[1]OUT_TransportEnergyCons!$A$4:$A$10000))*1,[1]OUT_TransportEnergyCons!I$4:I$10000))*1000</f>
        <v>1.44797140730566E-5</v>
      </c>
    </row>
    <row r="1994" spans="2:11" x14ac:dyDescent="0.35">
      <c r="B1994" s="5" t="str">
        <f t="shared" si="1311"/>
        <v>SPS1</v>
      </c>
      <c r="C1994" s="5" t="str">
        <f t="shared" si="1312"/>
        <v>CH</v>
      </c>
      <c r="D1994" t="s">
        <v>2029</v>
      </c>
      <c r="E1994" t="s">
        <v>2000</v>
      </c>
      <c r="F1994" s="1" cm="1">
        <f t="array" ref="F1994">(SUMPRODUCT(("Var_Cap"=[1]OUT_TransportEnergyCons!$B$4:$B$10000)*1,ISNUMBER(SEARCH("T_b_c*ICE*nga*s2",[1]OUT_TransportEnergyCons!$A$4:$A$10000))*1,[1]OUT_TransportEnergyCons!D$4:D$10000))*1000</f>
        <v>0</v>
      </c>
      <c r="G1994" s="1" cm="1">
        <f t="array" ref="G1994">(SUMPRODUCT(("Var_Cap"=[1]OUT_TransportEnergyCons!$B$4:$B$10000)*1,ISNUMBER(SEARCH("T_b_c*ICE*nga*s2",[1]OUT_TransportEnergyCons!$A$4:$A$10000))*1,[1]OUT_TransportEnergyCons!E$4:E$10000))*1000</f>
        <v>1.4356370005298502E-4</v>
      </c>
      <c r="H1994" s="1" cm="1">
        <f t="array" ref="H1994">(SUMPRODUCT(("Var_Cap"=[1]OUT_TransportEnergyCons!$B$4:$B$10000)*1,ISNUMBER(SEARCH("T_b_c*ICE*nga*s2",[1]OUT_TransportEnergyCons!$A$4:$A$10000))*1,[1]OUT_TransportEnergyCons!F$4:F$10000))*1000</f>
        <v>4.9660371216083798E-4</v>
      </c>
      <c r="I1994" s="1" cm="1">
        <f t="array" ref="I1994">(SUMPRODUCT(("Var_Cap"=[1]OUT_TransportEnergyCons!$B$4:$B$10000)*1,ISNUMBER(SEARCH("T_b_c*ICE*nga*s2",[1]OUT_TransportEnergyCons!$A$4:$A$10000))*1,[1]OUT_TransportEnergyCons!G$4:G$10000))*1000</f>
        <v>-3.6528793752295845E-7</v>
      </c>
      <c r="J1994" s="1" cm="1">
        <f t="array" ref="J1994">(SUMPRODUCT(("Var_Cap"=[1]OUT_TransportEnergyCons!$B$4:$B$10000)*1,ISNUMBER(SEARCH("T_b_c*ICE*nga*s2",[1]OUT_TransportEnergyCons!$A$4:$A$10000))*1,[1]OUT_TransportEnergyCons!H$4:H$10000))*1000</f>
        <v>5.7690141605391982E-6</v>
      </c>
      <c r="K1994" s="1" cm="1">
        <f t="array" ref="K1994">(SUMPRODUCT(("Var_Cap"=[1]OUT_TransportEnergyCons!$B$4:$B$10000)*1,ISNUMBER(SEARCH("T_b_c*ICE*nga*s2",[1]OUT_TransportEnergyCons!$A$4:$A$10000))*1,[1]OUT_TransportEnergyCons!I$4:I$10000))*1000</f>
        <v>1.2480193534034301E-5</v>
      </c>
    </row>
    <row r="1995" spans="2:11" x14ac:dyDescent="0.35">
      <c r="B1995" s="5" t="str">
        <f t="shared" si="1311"/>
        <v>SPS1</v>
      </c>
      <c r="C1995" s="5" t="str">
        <f t="shared" si="1312"/>
        <v>CH</v>
      </c>
      <c r="D1995" t="s">
        <v>2030</v>
      </c>
      <c r="E1995" t="s">
        <v>2000</v>
      </c>
      <c r="F1995" s="1" cm="1">
        <f t="array" ref="F1995">(SUMPRODUCT(("Var_Cap"=[1]OUT_TransportEnergyCons!$B$4:$B$10000)*1,ISNUMBER(SEARCH("T_b_c*ICE*nga*s3",[1]OUT_TransportEnergyCons!$A$4:$A$10000))*1,[1]OUT_TransportEnergyCons!D$4:D$10000))*1000</f>
        <v>0</v>
      </c>
      <c r="G1995" s="1" cm="1">
        <f t="array" ref="G1995">(SUMPRODUCT(("Var_Cap"=[1]OUT_TransportEnergyCons!$B$4:$B$10000)*1,ISNUMBER(SEARCH("T_b_c*ICE*nga*s3",[1]OUT_TransportEnergyCons!$A$4:$A$10000))*1,[1]OUT_TransportEnergyCons!E$4:E$10000))*1000</f>
        <v>7.8117276291962302E-5</v>
      </c>
      <c r="H1995" s="1" cm="1">
        <f t="array" ref="H1995">(SUMPRODUCT(("Var_Cap"=[1]OUT_TransportEnergyCons!$B$4:$B$10000)*1,ISNUMBER(SEARCH("T_b_c*ICE*nga*s3",[1]OUT_TransportEnergyCons!$A$4:$A$10000))*1,[1]OUT_TransportEnergyCons!F$4:F$10000))*1000</f>
        <v>2.3617888946177602E-4</v>
      </c>
      <c r="I1995" s="1" cm="1">
        <f t="array" ref="I1995">(SUMPRODUCT(("Var_Cap"=[1]OUT_TransportEnergyCons!$B$4:$B$10000)*1,ISNUMBER(SEARCH("T_b_c*ICE*nga*s3",[1]OUT_TransportEnergyCons!$A$4:$A$10000))*1,[1]OUT_TransportEnergyCons!G$4:G$10000))*1000</f>
        <v>4.4518760793490071E-6</v>
      </c>
      <c r="J1995" s="1" cm="1">
        <f t="array" ref="J1995">(SUMPRODUCT(("Var_Cap"=[1]OUT_TransportEnergyCons!$B$4:$B$10000)*1,ISNUMBER(SEARCH("T_b_c*ICE*nga*s3",[1]OUT_TransportEnergyCons!$A$4:$A$10000))*1,[1]OUT_TransportEnergyCons!H$4:H$10000))*1000</f>
        <v>2.1662619115373799E-5</v>
      </c>
      <c r="K1995" s="1" cm="1">
        <f t="array" ref="K1995">(SUMPRODUCT(("Var_Cap"=[1]OUT_TransportEnergyCons!$B$4:$B$10000)*1,ISNUMBER(SEARCH("T_b_c*ICE*nga*s3",[1]OUT_TransportEnergyCons!$A$4:$A$10000))*1,[1]OUT_TransportEnergyCons!I$4:I$10000))*1000</f>
        <v>7.4199073071456501E-6</v>
      </c>
    </row>
    <row r="1996" spans="2:11" x14ac:dyDescent="0.35">
      <c r="B1996" s="5" t="str">
        <f t="shared" si="1311"/>
        <v>SPS1</v>
      </c>
      <c r="C1996" s="5" t="str">
        <f t="shared" si="1312"/>
        <v>CH</v>
      </c>
      <c r="D1996" t="s">
        <v>2031</v>
      </c>
      <c r="E1996" t="s">
        <v>2000</v>
      </c>
      <c r="F1996" s="1" cm="1">
        <f t="array" ref="F1996">(SUMPRODUCT(("Var_Cap"=[1]OUT_TransportEnergyCons!$B$4:$B$10000)*1,ISNUMBER(SEARCH("T_b_c*ICE*nga*s4",[1]OUT_TransportEnergyCons!$A$4:$A$10000))*1,[1]OUT_TransportEnergyCons!D$4:D$10000))*1000</f>
        <v>0</v>
      </c>
      <c r="G1996" s="1" cm="1">
        <f t="array" ref="G1996">(SUMPRODUCT(("Var_Cap"=[1]OUT_TransportEnergyCons!$B$4:$B$10000)*1,ISNUMBER(SEARCH("T_b_c*ICE*nga*s4",[1]OUT_TransportEnergyCons!$A$4:$A$10000))*1,[1]OUT_TransportEnergyCons!E$4:E$10000))*1000</f>
        <v>0</v>
      </c>
      <c r="H1996" s="1" cm="1">
        <f t="array" ref="H1996">(SUMPRODUCT(("Var_Cap"=[1]OUT_TransportEnergyCons!$B$4:$B$10000)*1,ISNUMBER(SEARCH("T_b_c*ICE*nga*s4",[1]OUT_TransportEnergyCons!$A$4:$A$10000))*1,[1]OUT_TransportEnergyCons!F$4:F$10000))*1000</f>
        <v>1.6775619798694201E-5</v>
      </c>
      <c r="I1996" s="1" cm="1">
        <f t="array" ref="I1996">(SUMPRODUCT(("Var_Cap"=[1]OUT_TransportEnergyCons!$B$4:$B$10000)*1,ISNUMBER(SEARCH("T_b_c*ICE*nga*s4",[1]OUT_TransportEnergyCons!$A$4:$A$10000))*1,[1]OUT_TransportEnergyCons!G$4:G$10000))*1000</f>
        <v>-1.3436871302021987E-6</v>
      </c>
      <c r="J1996" s="1" cm="1">
        <f t="array" ref="J1996">(SUMPRODUCT(("Var_Cap"=[1]OUT_TransportEnergyCons!$B$4:$B$10000)*1,ISNUMBER(SEARCH("T_b_c*ICE*nga*s4",[1]OUT_TransportEnergyCons!$A$4:$A$10000))*1,[1]OUT_TransportEnergyCons!H$4:H$10000))*1000</f>
        <v>-1.2872894184901099E-5</v>
      </c>
      <c r="K1996" s="1" cm="1">
        <f t="array" ref="K1996">(SUMPRODUCT(("Var_Cap"=[1]OUT_TransportEnergyCons!$B$4:$B$10000)*1,ISNUMBER(SEARCH("T_b_c*ICE*nga*s4",[1]OUT_TransportEnergyCons!$A$4:$A$10000))*1,[1]OUT_TransportEnergyCons!I$4:I$10000))*1000</f>
        <v>0</v>
      </c>
    </row>
    <row r="1997" spans="2:11" x14ac:dyDescent="0.35">
      <c r="B1997" s="5" t="str">
        <f>B1996</f>
        <v>SPS1</v>
      </c>
      <c r="C1997" s="5" t="str">
        <f>C1996</f>
        <v>CH</v>
      </c>
      <c r="D1997" s="2" t="s">
        <v>2122</v>
      </c>
      <c r="E1997" s="2" t="s">
        <v>2000</v>
      </c>
      <c r="F1997" s="3">
        <f>SUM(F1998:F2006)</f>
        <v>399.86531087416427</v>
      </c>
      <c r="G1997" s="3">
        <f t="shared" ref="G1997:K1997" si="1313">SUM(G1998:G2006)</f>
        <v>399.40172461290143</v>
      </c>
      <c r="H1997" s="3">
        <f t="shared" si="1313"/>
        <v>406.7190268382484</v>
      </c>
      <c r="I1997" s="3">
        <f t="shared" si="1313"/>
        <v>418.91425787241974</v>
      </c>
      <c r="J1997" s="3">
        <f t="shared" si="1313"/>
        <v>470.63791856439008</v>
      </c>
      <c r="K1997" s="3">
        <f t="shared" si="1313"/>
        <v>536.84182051259677</v>
      </c>
    </row>
    <row r="1998" spans="2:11" x14ac:dyDescent="0.35">
      <c r="B1998" s="5" t="str">
        <f t="shared" ref="B1998:B2006" si="1314">B1997</f>
        <v>SPS1</v>
      </c>
      <c r="C1998" s="5" t="str">
        <f t="shared" ref="C1998:C2006" si="1315">C1997</f>
        <v>CH</v>
      </c>
      <c r="D1998" t="s">
        <v>2123</v>
      </c>
      <c r="E1998" t="s">
        <v>2000</v>
      </c>
      <c r="F1998" s="1" cm="1">
        <f t="array" ref="F1998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1998" s="1" cm="1">
        <f t="array" ref="G1998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1998" s="1" cm="1">
        <f t="array" ref="H1998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1998" s="1" cm="1">
        <f t="array" ref="I1998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1998" s="1" cm="1">
        <f t="array" ref="J1998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1998" s="1" cm="1">
        <f t="array" ref="K1998">(SUMPRODUCT(("Var_Cap"=[1]OUT_TransportEnergyCons!$B$4:$B$10000)*1,("-"=[1]OUT_TransportEnergyCons!$C$4:$C$10000)*1,ISNUMBER(SEARCH("tfl*bev*ext",[1]OUT_TransportEnergyCons!$A$4:$A$10000))*1,[1]OUT_TransportEnergyCons!I$4:I$10000))*1000</f>
        <v>0</v>
      </c>
    </row>
    <row r="1999" spans="2:11" x14ac:dyDescent="0.35">
      <c r="B1999" s="5" t="str">
        <f t="shared" si="1314"/>
        <v>SPS1</v>
      </c>
      <c r="C1999" s="5" t="str">
        <f t="shared" si="1315"/>
        <v>CH</v>
      </c>
      <c r="D1999" t="s">
        <v>2124</v>
      </c>
      <c r="E1999" t="s">
        <v>2000</v>
      </c>
      <c r="F1999" s="1" cm="1">
        <f t="array" ref="F1999">(SUMPRODUCT(("Var_Cap"=[1]OUT_TransportEnergyCons!$B$4:$B$10000)*1,("-"=[1]OUT_TransportEnergyCons!$C$4:$C$10000)*1,ISNUMBER(SEARCH("tfl*bev*",[1]OUT_TransportEnergyCons!$A$4:$A$10000))*1,[1]OUT_TransportEnergyCons!D$4:D$10000))*1000-F1998</f>
        <v>1.698866678189664</v>
      </c>
      <c r="G1999" s="1" cm="1">
        <f t="array" ref="G1999">(SUMPRODUCT(("Var_Cap"=[1]OUT_TransportEnergyCons!$B$4:$B$10000)*1,("-"=[1]OUT_TransportEnergyCons!$C$4:$C$10000)*1,ISNUMBER(SEARCH("tfl*bev*",[1]OUT_TransportEnergyCons!$A$4:$A$10000))*1,[1]OUT_TransportEnergyCons!E$4:E$10000))*1000-G1998</f>
        <v>3.7516231073738906</v>
      </c>
      <c r="H1999" s="1" cm="1">
        <f t="array" ref="H1999">(SUMPRODUCT(("Var_Cap"=[1]OUT_TransportEnergyCons!$B$4:$B$10000)*1,("-"=[1]OUT_TransportEnergyCons!$C$4:$C$10000)*1,ISNUMBER(SEARCH("tfl*bev*",[1]OUT_TransportEnergyCons!$A$4:$A$10000))*1,[1]OUT_TransportEnergyCons!F$4:F$10000))*1000-H1998</f>
        <v>5.5782625967780106</v>
      </c>
      <c r="I1999" s="1" cm="1">
        <f t="array" ref="I1999">(SUMPRODUCT(("Var_Cap"=[1]OUT_TransportEnergyCons!$B$4:$B$10000)*1,("-"=[1]OUT_TransportEnergyCons!$C$4:$C$10000)*1,ISNUMBER(SEARCH("tfl*bev*",[1]OUT_TransportEnergyCons!$A$4:$A$10000))*1,[1]OUT_TransportEnergyCons!G$4:G$10000))*1000-I1998</f>
        <v>80.574070205622661</v>
      </c>
      <c r="J1999" s="1" cm="1">
        <f t="array" ref="J1999">(SUMPRODUCT(("Var_Cap"=[1]OUT_TransportEnergyCons!$B$4:$B$10000)*1,("-"=[1]OUT_TransportEnergyCons!$C$4:$C$10000)*1,ISNUMBER(SEARCH("tfl*bev*",[1]OUT_TransportEnergyCons!$A$4:$A$10000))*1,[1]OUT_TransportEnergyCons!H$4:H$10000))*1000-J1998</f>
        <v>470.62794667483638</v>
      </c>
      <c r="K1999" s="1" cm="1">
        <f t="array" ref="K1999">(SUMPRODUCT(("Var_Cap"=[1]OUT_TransportEnergyCons!$B$4:$B$10000)*1,("-"=[1]OUT_TransportEnergyCons!$C$4:$C$10000)*1,ISNUMBER(SEARCH("tfl*bev*",[1]OUT_TransportEnergyCons!$A$4:$A$10000))*1,[1]OUT_TransportEnergyCons!I$4:I$10000))*1000-K1998</f>
        <v>536.84118388678326</v>
      </c>
    </row>
    <row r="2000" spans="2:11" x14ac:dyDescent="0.35">
      <c r="B2000" s="5" t="str">
        <f t="shared" si="1314"/>
        <v>SPS1</v>
      </c>
      <c r="C2000" s="5" t="str">
        <f t="shared" si="1315"/>
        <v>CH</v>
      </c>
      <c r="D2000" t="s">
        <v>2125</v>
      </c>
      <c r="E2000" t="s">
        <v>2000</v>
      </c>
      <c r="F2000" s="1" cm="1">
        <f t="array" ref="F2000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0" s="1" cm="1">
        <f t="array" ref="G2000">(SUMPRODUCT(("Var_Cap"=[1]OUT_TransportEnergyCons!$B$4:$B$10000)*1,("-"=[1]OUT_TransportEnergyCons!$C$4:$C$10000)*1,ISNUMBER(SEARCH("tfl*h2o*",[1]OUT_TransportEnergyCons!$A$4:$A$10000))*1,[1]OUT_TransportEnergyCons!E$4:E$10000))*1000</f>
        <v>9.1309452907197897E-4</v>
      </c>
      <c r="H2000" s="1" cm="1">
        <f t="array" ref="H2000">(SUMPRODUCT(("Var_Cap"=[1]OUT_TransportEnergyCons!$B$4:$B$10000)*1,("-"=[1]OUT_TransportEnergyCons!$C$4:$C$10000)*1,ISNUMBER(SEARCH("tfl*h2o*",[1]OUT_TransportEnergyCons!$A$4:$A$10000))*1,[1]OUT_TransportEnergyCons!F$4:F$10000))*1000</f>
        <v>1.3547606499610201E-3</v>
      </c>
      <c r="I2000" s="1" cm="1">
        <f t="array" ref="I2000">(SUMPRODUCT(("Var_Cap"=[1]OUT_TransportEnergyCons!$B$4:$B$10000)*1,("-"=[1]OUT_TransportEnergyCons!$C$4:$C$10000)*1,ISNUMBER(SEARCH("tfl*h2o*",[1]OUT_TransportEnergyCons!$A$4:$A$10000))*1,[1]OUT_TransportEnergyCons!G$4:G$10000))*1000</f>
        <v>6.8114956925893115E-4</v>
      </c>
      <c r="J2000" s="1" cm="1">
        <f t="array" ref="J2000">(SUMPRODUCT(("Var_Cap"=[1]OUT_TransportEnergyCons!$B$4:$B$10000)*1,("-"=[1]OUT_TransportEnergyCons!$C$4:$C$10000)*1,ISNUMBER(SEARCH("tfl*h2o*",[1]OUT_TransportEnergyCons!$A$4:$A$10000))*1,[1]OUT_TransportEnergyCons!H$4:H$10000))*1000</f>
        <v>6.2633470128711896E-4</v>
      </c>
      <c r="K2000" s="1" cm="1">
        <f t="array" ref="K2000">(SUMPRODUCT(("Var_Cap"=[1]OUT_TransportEnergyCons!$B$4:$B$10000)*1,("-"=[1]OUT_TransportEnergyCons!$C$4:$C$10000)*1,ISNUMBER(SEARCH("tfl*h2o*",[1]OUT_TransportEnergyCons!$A$4:$A$10000))*1,[1]OUT_TransportEnergyCons!I$4:I$10000))*1000</f>
        <v>6.3662581352540702E-4</v>
      </c>
    </row>
    <row r="2001" spans="2:11" x14ac:dyDescent="0.35">
      <c r="B2001" s="5" t="str">
        <f t="shared" si="1314"/>
        <v>SPS1</v>
      </c>
      <c r="C2001" s="5" t="str">
        <f t="shared" si="1315"/>
        <v>CH</v>
      </c>
      <c r="D2001" t="s">
        <v>2126</v>
      </c>
      <c r="E2001" t="s">
        <v>2000</v>
      </c>
      <c r="F2001" s="1" cm="1">
        <f t="array" ref="F2001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1" s="1" cm="1">
        <f t="array" ref="G2001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1" s="1" cm="1">
        <f t="array" ref="H2001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1" s="1" cm="1">
        <f t="array" ref="I2001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1" s="1" cm="1">
        <f t="array" ref="J2001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1" s="1" cm="1">
        <f t="array" ref="K2001">(SUMPRODUCT(("Var_Cap"=[1]OUT_TransportEnergyCons!$B$4:$B$10000)*1,("-"=[1]OUT_TransportEnergyCons!$C$4:$C$10000)*1,ISNUMBER(SEARCH("TfL*ICE*GSL*ext",[1]OUT_TransportEnergyCons!$A$4:$A$10000))*1,[1]OUT_TransportEnergyCons!I$4:I$10000))*1000</f>
        <v>0</v>
      </c>
    </row>
    <row r="2002" spans="2:11" x14ac:dyDescent="0.35">
      <c r="B2002" s="5" t="str">
        <f t="shared" si="1314"/>
        <v>SPS1</v>
      </c>
      <c r="C2002" s="5" t="str">
        <f t="shared" si="1315"/>
        <v>CH</v>
      </c>
      <c r="D2002" t="s">
        <v>2127</v>
      </c>
      <c r="E2002" t="s">
        <v>2000</v>
      </c>
      <c r="F2002" s="1" cm="1">
        <f t="array" ref="F2002">(SUMPRODUCT(("Var_Cap"=[1]OUT_TransportEnergyCons!$B$4:$B$10000)*1,("-"=[1]OUT_TransportEnergyCons!$C$4:$C$10000)*1,ISNUMBER(SEARCH("TfL*ICE*GSL*",[1]OUT_TransportEnergyCons!$A$4:$A$10000))*1,[1]OUT_TransportEnergyCons!D$4:D$10000))*1000-F2001</f>
        <v>12.434843387669886</v>
      </c>
      <c r="G2002" s="1" cm="1">
        <f t="array" ref="G2002">(SUMPRODUCT(("Var_Cap"=[1]OUT_TransportEnergyCons!$B$4:$B$10000)*1,("-"=[1]OUT_TransportEnergyCons!$C$4:$C$10000)*1,ISNUMBER(SEARCH("TfL*ICE*GSL*",[1]OUT_TransportEnergyCons!$A$4:$A$10000))*1,[1]OUT_TransportEnergyCons!E$4:E$10000))*1000-G2001</f>
        <v>14.18575103885874</v>
      </c>
      <c r="H2002" s="1" cm="1">
        <f t="array" ref="H2002">(SUMPRODUCT(("Var_Cap"=[1]OUT_TransportEnergyCons!$B$4:$B$10000)*1,("-"=[1]OUT_TransportEnergyCons!$C$4:$C$10000)*1,ISNUMBER(SEARCH("TfL*ICE*GSL*",[1]OUT_TransportEnergyCons!$A$4:$A$10000))*1,[1]OUT_TransportEnergyCons!F$4:F$10000))*1000-H2001</f>
        <v>26.5684424496493</v>
      </c>
      <c r="I2002" s="1" cm="1">
        <f t="array" ref="I2002">(SUMPRODUCT(("Var_Cap"=[1]OUT_TransportEnergyCons!$B$4:$B$10000)*1,("-"=[1]OUT_TransportEnergyCons!$C$4:$C$10000)*1,ISNUMBER(SEARCH("TfL*ICE*GSL*",[1]OUT_TransportEnergyCons!$A$4:$A$10000))*1,[1]OUT_TransportEnergyCons!G$4:G$10000))*1000-I2001</f>
        <v>47.630909558352784</v>
      </c>
      <c r="J2002" s="1" cm="1">
        <f t="array" ref="J2002">(SUMPRODUCT(("Var_Cap"=[1]OUT_TransportEnergyCons!$B$4:$B$10000)*1,("-"=[1]OUT_TransportEnergyCons!$C$4:$C$10000)*1,ISNUMBER(SEARCH("TfL*ICE*GSL*",[1]OUT_TransportEnergyCons!$A$4:$A$10000))*1,[1]OUT_TransportEnergyCons!H$4:H$10000))*1000-J2001</f>
        <v>2.8952355347602529E-3</v>
      </c>
      <c r="K2002" s="1" cm="1">
        <f t="array" ref="K2002">(SUMPRODUCT(("Var_Cap"=[1]OUT_TransportEnergyCons!$B$4:$B$10000)*1,("-"=[1]OUT_TransportEnergyCons!$C$4:$C$10000)*1,ISNUMBER(SEARCH("TfL*ICE*GSL*",[1]OUT_TransportEnergyCons!$A$4:$A$10000))*1,[1]OUT_TransportEnergyCons!I$4:I$10000))*1000-K2001</f>
        <v>0</v>
      </c>
    </row>
    <row r="2003" spans="2:11" x14ac:dyDescent="0.35">
      <c r="B2003" s="5" t="str">
        <f t="shared" si="1314"/>
        <v>SPS1</v>
      </c>
      <c r="C2003" s="5" t="str">
        <f t="shared" si="1315"/>
        <v>CH</v>
      </c>
      <c r="D2003" t="s">
        <v>2128</v>
      </c>
      <c r="E2003" t="s">
        <v>2000</v>
      </c>
      <c r="F2003" s="1" cm="1">
        <f t="array" ref="F2003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3" s="1" cm="1">
        <f t="array" ref="G2003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3" s="1" cm="1">
        <f t="array" ref="H2003">(SUMPRODUCT(("Var_Cap"=[1]OUT_TransportEnergyCons!$B$4:$B$10000)*1,("-"=[1]OUT_TransportEnergyCons!$C$4:$C$10000)*1,ISNUMBER(SEARCH("tfl*ICE*DSL*ext",[1]OUT_TransportEnergyCons!$A$4:$A$10000))*1,[1]OUT_TransportEnergyCons!F$4:F$10000))*1000</f>
        <v>152.66198409008479</v>
      </c>
      <c r="I2003" s="1" cm="1">
        <f t="array" ref="I2003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3" s="1" cm="1">
        <f t="array" ref="J2003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(SUMPRODUCT(("Var_Cap"=[1]OUT_TransportEnergyCons!$B$4:$B$10000)*1,("-"=[1]OUT_TransportEnergyCons!$C$4:$C$10000)*1,ISNUMBER(SEARCH("tfl*ICE*DSL*ext",[1]OUT_TransportEnergyCons!$A$4:$A$10000))*1,[1]OUT_TransportEnergyCons!I$4:I$10000))*1000</f>
        <v>0</v>
      </c>
    </row>
    <row r="2004" spans="2:11" x14ac:dyDescent="0.35">
      <c r="B2004" s="5" t="str">
        <f t="shared" si="1314"/>
        <v>SPS1</v>
      </c>
      <c r="C2004" s="5" t="str">
        <f t="shared" si="1315"/>
        <v>CH</v>
      </c>
      <c r="D2004" t="s">
        <v>2129</v>
      </c>
      <c r="E2004" t="s">
        <v>2000</v>
      </c>
      <c r="F2004" s="1" cm="1">
        <f t="array" ref="F2004">(SUMPRODUCT(("Var_Cap"=[1]OUT_TransportEnergyCons!$B$4:$B$10000)*1,("-"=[1]OUT_TransportEnergyCons!$C$4:$C$10000)*1,ISNUMBER(SEARCH("tfl*ICE*DSL*",[1]OUT_TransportEnergyCons!$A$4:$A$10000))*1,[1]OUT_TransportEnergyCons!D$4:D$10000))*1000-F2003</f>
        <v>106.16879983357114</v>
      </c>
      <c r="G2004" s="1" cm="1">
        <f t="array" ref="G2004">(SUMPRODUCT(("Var_Cap"=[1]OUT_TransportEnergyCons!$B$4:$B$10000)*1,("-"=[1]OUT_TransportEnergyCons!$C$4:$C$10000)*1,ISNUMBER(SEARCH("tfl*ICE*DSL*",[1]OUT_TransportEnergyCons!$A$4:$A$10000))*1,[1]OUT_TransportEnergyCons!E$4:E$10000))*1000-G2003</f>
        <v>125.16654482961997</v>
      </c>
      <c r="H2004" s="1" cm="1">
        <f t="array" ref="H2004">(SUMPRODUCT(("Var_Cap"=[1]OUT_TransportEnergyCons!$B$4:$B$10000)*1,("-"=[1]OUT_TransportEnergyCons!$C$4:$C$10000)*1,ISNUMBER(SEARCH("tfl*ICE*DSL*",[1]OUT_TransportEnergyCons!$A$4:$A$10000))*1,[1]OUT_TransportEnergyCons!F$4:F$10000))*1000-H2003</f>
        <v>125.25196943877984</v>
      </c>
      <c r="I2004" s="1" cm="1">
        <f t="array" ref="I2004">(SUMPRODUCT(("Var_Cap"=[1]OUT_TransportEnergyCons!$B$4:$B$10000)*1,("-"=[1]OUT_TransportEnergyCons!$C$4:$C$10000)*1,ISNUMBER(SEARCH("tfl*ICE*DSL*",[1]OUT_TransportEnergyCons!$A$4:$A$10000))*1,[1]OUT_TransportEnergyCons!G$4:G$10000))*1000-I2003</f>
        <v>70.976855049178525</v>
      </c>
      <c r="J2004" s="1" cm="1">
        <f t="array" ref="J2004">(SUMPRODUCT(("Var_Cap"=[1]OUT_TransportEnergyCons!$B$4:$B$10000)*1,("-"=[1]OUT_TransportEnergyCons!$C$4:$C$10000)*1,ISNUMBER(SEARCH("tfl*ICE*DSL*",[1]OUT_TransportEnergyCons!$A$4:$A$10000))*1,[1]OUT_TransportEnergyCons!H$4:H$10000))*1000-J2003</f>
        <v>2.8279000734508903E-3</v>
      </c>
      <c r="K2004" s="1" cm="1">
        <f t="array" ref="K2004">(SUMPRODUCT(("Var_Cap"=[1]OUT_TransportEnergyCons!$B$4:$B$10000)*1,("-"=[1]OUT_TransportEnergyCons!$C$4:$C$10000)*1,ISNUMBER(SEARCH("tfl*ICE*DSL*",[1]OUT_TransportEnergyCons!$A$4:$A$10000))*1,[1]OUT_TransportEnergyCons!I$4:I$10000))*1000-K2003</f>
        <v>0</v>
      </c>
    </row>
    <row r="2005" spans="2:11" x14ac:dyDescent="0.35">
      <c r="B2005" s="5" t="str">
        <f t="shared" si="1314"/>
        <v>SPS1</v>
      </c>
      <c r="C2005" s="5" t="str">
        <f t="shared" si="1315"/>
        <v>CH</v>
      </c>
      <c r="D2005" t="s">
        <v>2130</v>
      </c>
      <c r="E2005" t="s">
        <v>2000</v>
      </c>
      <c r="F2005" s="1" cm="1">
        <f t="array" ref="F2005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(SUMPRODUCT(("Var_Cap"=[1]OUT_TransportEnergyCons!$B$4:$B$10000)*1,("-"=[1]OUT_TransportEnergyCons!$C$4:$C$10000)*1,ISNUMBER(SEARCH("tfl*hyb*DSL*",[1]OUT_TransportEnergyCons!$A$4:$A$10000))*1,[1]OUT_TransportEnergyCons!E$4:E$10000))*1000</f>
        <v>13.804326534551899</v>
      </c>
      <c r="H2005" s="1" cm="1">
        <f t="array" ref="H2005">(SUMPRODUCT(("Var_Cap"=[1]OUT_TransportEnergyCons!$B$4:$B$10000)*1,("-"=[1]OUT_TransportEnergyCons!$C$4:$C$10000)*1,ISNUMBER(SEARCH("tfl*hyb*DSL*",[1]OUT_TransportEnergyCons!$A$4:$A$10000))*1,[1]OUT_TransportEnergyCons!F$4:F$10000))*1000</f>
        <v>62.621659641291195</v>
      </c>
      <c r="I2005" s="1" cm="1">
        <f t="array" ref="I2005">(SUMPRODUCT(("Var_Cap"=[1]OUT_TransportEnergyCons!$B$4:$B$10000)*1,("-"=[1]OUT_TransportEnergyCons!$C$4:$C$10000)*1,ISNUMBER(SEARCH("tfl*hyb*DSL*",[1]OUT_TransportEnergyCons!$A$4:$A$10000))*1,[1]OUT_TransportEnergyCons!G$4:G$10000))*1000</f>
        <v>127.42984753644701</v>
      </c>
      <c r="J2005" s="1" cm="1">
        <f t="array" ref="J2005">(SUMPRODUCT(("Var_Cap"=[1]OUT_TransportEnergyCons!$B$4:$B$10000)*1,("-"=[1]OUT_TransportEnergyCons!$C$4:$C$10000)*1,ISNUMBER(SEARCH("tfl*hyb*DSL*",[1]OUT_TransportEnergyCons!$A$4:$A$10000))*1,[1]OUT_TransportEnergyCons!H$4:H$10000))*1000</f>
        <v>3.4601341429001814E-3</v>
      </c>
      <c r="K2005" s="1" cm="1">
        <f t="array" ref="K2005">(SUMPRODUCT(("Var_Cap"=[1]OUT_TransportEnergyCons!$B$4:$B$10000)*1,("-"=[1]OUT_TransportEnergyCons!$C$4:$C$10000)*1,ISNUMBER(SEARCH("tfl*hyb*DSL*",[1]OUT_TransportEnergyCons!$A$4:$A$10000))*1,[1]OUT_TransportEnergyCons!I$4:I$10000))*1000</f>
        <v>0</v>
      </c>
    </row>
    <row r="2006" spans="2:11" x14ac:dyDescent="0.35">
      <c r="B2006" s="5" t="str">
        <f t="shared" si="1314"/>
        <v>SPS1</v>
      </c>
      <c r="C2006" s="5" t="str">
        <f t="shared" si="1315"/>
        <v>CH</v>
      </c>
      <c r="D2006" t="s">
        <v>2131</v>
      </c>
      <c r="E2006" t="s">
        <v>2000</v>
      </c>
      <c r="F2006" s="1" cm="1">
        <f t="array" ref="F2006">(SUMPRODUCT(("Var_Cap"=[1]OUT_TransportEnergyCons!$B$4:$B$10000)*1,("-"=[1]OUT_TransportEnergyCons!$C$4:$C$10000)*1,ISNUMBER(SEARCH("tfl*ice*nga*",[1]OUT_TransportEnergyCons!$A$4:$A$10000))*1,[1]OUT_TransportEnergyCons!D$4:D$10000))*1000</f>
        <v>2.6678009747336033</v>
      </c>
      <c r="G2006" s="1" cm="1">
        <f t="array" ref="G2006">(SUMPRODUCT(("Var_Cap"=[1]OUT_TransportEnergyCons!$B$4:$B$10000)*1,("-"=[1]OUT_TransportEnergyCons!$C$4:$C$10000)*1,ISNUMBER(SEARCH("tfl*ice*nga*",[1]OUT_TransportEnergyCons!$A$4:$A$10000))*1,[1]OUT_TransportEnergyCons!E$4:E$10000))*1000</f>
        <v>2.5168993413012055</v>
      </c>
      <c r="H2006" s="1" cm="1">
        <f t="array" ref="H2006">(SUMPRODUCT(("Var_Cap"=[1]OUT_TransportEnergyCons!$B$4:$B$10000)*1,("-"=[1]OUT_TransportEnergyCons!$C$4:$C$10000)*1,ISNUMBER(SEARCH("tfl*ice*nga*",[1]OUT_TransportEnergyCons!$A$4:$A$10000))*1,[1]OUT_TransportEnergyCons!F$4:F$10000))*1000</f>
        <v>2.100687194348561</v>
      </c>
      <c r="I2006" s="1" cm="1">
        <f t="array" ref="I2006">(SUMPRODUCT(("Var_Cap"=[1]OUT_TransportEnergyCons!$B$4:$B$10000)*1,("-"=[1]OUT_TransportEnergyCons!$C$4:$C$10000)*1,ISNUMBER(SEARCH("tfl*ice*nga*",[1]OUT_TransportEnergyCons!$A$4:$A$10000))*1,[1]OUT_TransportEnergyCons!G$4:G$10000))*1000</f>
        <v>3.5610399161524302E-3</v>
      </c>
      <c r="J2006" s="1" cm="1">
        <f t="array" ref="J2006">(SUMPRODUCT(("Var_Cap"=[1]OUT_TransportEnergyCons!$B$4:$B$10000)*1,("-"=[1]OUT_TransportEnergyCons!$C$4:$C$10000)*1,ISNUMBER(SEARCH("tfl*ice*nga*",[1]OUT_TransportEnergyCons!$A$4:$A$10000))*1,[1]OUT_TransportEnergyCons!H$4:H$10000))*1000</f>
        <v>1.62285101300623E-4</v>
      </c>
      <c r="K2006" s="1" cm="1">
        <f t="array" ref="K2006">(SUMPRODUCT(("Var_Cap"=[1]OUT_TransportEnergyCons!$B$4:$B$10000)*1,("-"=[1]OUT_TransportEnergyCons!$C$4:$C$10000)*1,ISNUMBER(SEARCH("tfl*ice*nga*",[1]OUT_TransportEnergyCons!$A$4:$A$10000))*1,[1]OUT_TransportEnergyCons!I$4:I$10000))*1000</f>
        <v>0</v>
      </c>
    </row>
    <row r="2007" spans="2:11" x14ac:dyDescent="0.35">
      <c r="B2007" s="5" t="str">
        <f>B2006</f>
        <v>SPS1</v>
      </c>
      <c r="C2007" s="5" t="str">
        <f>C2006</f>
        <v>CH</v>
      </c>
      <c r="D2007" s="2" t="s">
        <v>2134</v>
      </c>
      <c r="E2007" s="2" t="s">
        <v>2000</v>
      </c>
      <c r="F2007" s="3">
        <f>SUM(F2008:F2016)</f>
        <v>41.456826020943325</v>
      </c>
      <c r="G2007" s="3">
        <f t="shared" ref="G2007" si="1316">SUM(G2008:G2016)</f>
        <v>43.007453290782728</v>
      </c>
      <c r="H2007" s="3">
        <f t="shared" ref="H2007" si="1317">SUM(H2008:H2016)</f>
        <v>43.457321169811067</v>
      </c>
      <c r="I2007" s="3">
        <f t="shared" ref="I2007" si="1318">SUM(I2008:I2016)</f>
        <v>45.290478862472142</v>
      </c>
      <c r="J2007" s="3">
        <f t="shared" ref="J2007" si="1319">SUM(J2008:J2016)</f>
        <v>49.183825169195444</v>
      </c>
      <c r="K2007" s="3">
        <f t="shared" ref="K2007" si="1320">SUM(K2008:K2016)</f>
        <v>53.093414125457656</v>
      </c>
    </row>
    <row r="2008" spans="2:11" x14ac:dyDescent="0.35">
      <c r="B2008" s="5" t="str">
        <f t="shared" ref="B2008:B2016" si="1321">B2007</f>
        <v>SPS1</v>
      </c>
      <c r="C2008" s="5" t="str">
        <f t="shared" ref="C2008:C2016" si="1322">C2007</f>
        <v>CH</v>
      </c>
      <c r="D2008" t="s">
        <v>2135</v>
      </c>
      <c r="E2008" t="s">
        <v>2000</v>
      </c>
      <c r="F2008" s="1" cm="1">
        <f t="array" ref="F2008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08" s="1" cm="1">
        <f t="array" ref="G2008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08" s="1" cm="1">
        <f t="array" ref="H2008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08" s="1" cm="1">
        <f t="array" ref="I2008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08" s="1" cm="1">
        <f t="array" ref="J2008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(SUMPRODUCT(("Var_Cap"=[1]OUT_TransportEnergyCons!$B$4:$B$10000)*1,("-"=[1]OUT_TransportEnergyCons!$C$4:$C$10000)*1,ISNUMBER(SEARCH("tfh*bev*ext",[1]OUT_TransportEnergyCons!$A$4:$A$10000))*1,[1]OUT_TransportEnergyCons!I$4:I$10000))*1000</f>
        <v>0</v>
      </c>
    </row>
    <row r="2009" spans="2:11" x14ac:dyDescent="0.35">
      <c r="B2009" s="5" t="str">
        <f t="shared" si="1321"/>
        <v>SPS1</v>
      </c>
      <c r="C2009" s="5" t="str">
        <f t="shared" si="1322"/>
        <v>CH</v>
      </c>
      <c r="D2009" t="s">
        <v>2136</v>
      </c>
      <c r="E2009" t="s">
        <v>2000</v>
      </c>
      <c r="F2009" s="1" cm="1">
        <f t="array" ref="F2009">(SUMPRODUCT(("Var_Cap"=[1]OUT_TransportEnergyCons!$B$4:$B$10000)*1,("-"=[1]OUT_TransportEnergyCons!$C$4:$C$10000)*1,ISNUMBER(SEARCH("tfh*bev*",[1]OUT_TransportEnergyCons!$A$4:$A$10000))*1,[1]OUT_TransportEnergyCons!D$4:D$10000))*1000-F2008</f>
        <v>4.9044136313187027E-2</v>
      </c>
      <c r="G2009" s="1" cm="1">
        <f t="array" ref="G2009">(SUMPRODUCT(("Var_Cap"=[1]OUT_TransportEnergyCons!$B$4:$B$10000)*1,("-"=[1]OUT_TransportEnergyCons!$C$4:$C$10000)*1,ISNUMBER(SEARCH("tfh*bev*",[1]OUT_TransportEnergyCons!$A$4:$A$10000))*1,[1]OUT_TransportEnergyCons!E$4:E$10000))*1000-G2008</f>
        <v>0.11076807868396381</v>
      </c>
      <c r="H2009" s="1" cm="1">
        <f t="array" ref="H2009">(SUMPRODUCT(("Var_Cap"=[1]OUT_TransportEnergyCons!$B$4:$B$10000)*1,("-"=[1]OUT_TransportEnergyCons!$C$4:$C$10000)*1,ISNUMBER(SEARCH("tfh*bev*",[1]OUT_TransportEnergyCons!$A$4:$A$10000))*1,[1]OUT_TransportEnergyCons!F$4:F$10000))*1000-H2008</f>
        <v>0.11019056453875258</v>
      </c>
      <c r="I2009" s="1" cm="1">
        <f t="array" ref="I2009">(SUMPRODUCT(("Var_Cap"=[1]OUT_TransportEnergyCons!$B$4:$B$10000)*1,("-"=[1]OUT_TransportEnergyCons!$C$4:$C$10000)*1,ISNUMBER(SEARCH("tfh*bev*",[1]OUT_TransportEnergyCons!$A$4:$A$10000))*1,[1]OUT_TransportEnergyCons!G$4:G$10000))*1000-I2008</f>
        <v>2.9557447252548018E-2</v>
      </c>
      <c r="J2009" s="1" cm="1">
        <f t="array" ref="J2009">(SUMPRODUCT(("Var_Cap"=[1]OUT_TransportEnergyCons!$B$4:$B$10000)*1,("-"=[1]OUT_TransportEnergyCons!$C$4:$C$10000)*1,ISNUMBER(SEARCH("tfh*bev*",[1]OUT_TransportEnergyCons!$A$4:$A$10000))*1,[1]OUT_TransportEnergyCons!H$4:H$10000))*1000-J2008</f>
        <v>16.302225379883801</v>
      </c>
      <c r="K2009" s="1" cm="1">
        <f t="array" ref="K2009">(SUMPRODUCT(("Var_Cap"=[1]OUT_TransportEnergyCons!$B$4:$B$10000)*1,("-"=[1]OUT_TransportEnergyCons!$C$4:$C$10000)*1,ISNUMBER(SEARCH("tfh*bev*",[1]OUT_TransportEnergyCons!$A$4:$A$10000))*1,[1]OUT_TransportEnergyCons!I$4:I$10000))*1000-K2008</f>
        <v>51.159583169991102</v>
      </c>
    </row>
    <row r="2010" spans="2:11" x14ac:dyDescent="0.35">
      <c r="B2010" s="5" t="str">
        <f t="shared" si="1321"/>
        <v>SPS1</v>
      </c>
      <c r="C2010" s="5" t="str">
        <f t="shared" si="1322"/>
        <v>CH</v>
      </c>
      <c r="D2010" t="s">
        <v>2137</v>
      </c>
      <c r="E2010" t="s">
        <v>2000</v>
      </c>
      <c r="F2010" s="1" cm="1">
        <f t="array" ref="F2010">(SUMPRODUCT(("Var_Cap"=[1]OUT_TransportEnergyCons!$B$4:$B$10000)*1,("-"=[1]OUT_TransportEnergyCons!$C$4:$C$10000)*1,ISNUMBER(SEARCH("tfh*h2o*",[1]OUT_TransportEnergyCons!$A$4:$A$10000))*1,[1]OUT_TransportEnergyCons!D$4:D$10000))*1000</f>
        <v>1.0354066797582729E-2</v>
      </c>
      <c r="G2010" s="1" cm="1">
        <f t="array" ref="G2010">(SUMPRODUCT(("Var_Cap"=[1]OUT_TransportEnergyCons!$B$4:$B$10000)*1,("-"=[1]OUT_TransportEnergyCons!$C$4:$C$10000)*1,ISNUMBER(SEARCH("tfh*h2o*",[1]OUT_TransportEnergyCons!$A$4:$A$10000))*1,[1]OUT_TransportEnergyCons!E$4:E$10000))*1000</f>
        <v>3.6034714686302084E-3</v>
      </c>
      <c r="H2010" s="1" cm="1">
        <f t="array" ref="H2010">(SUMPRODUCT(("Var_Cap"=[1]OUT_TransportEnergyCons!$B$4:$B$10000)*1,("-"=[1]OUT_TransportEnergyCons!$C$4:$C$10000)*1,ISNUMBER(SEARCH("tfh*h2o*",[1]OUT_TransportEnergyCons!$A$4:$A$10000))*1,[1]OUT_TransportEnergyCons!F$4:F$10000))*1000</f>
        <v>3.7037584648268417E-3</v>
      </c>
      <c r="I2010" s="1" cm="1">
        <f t="array" ref="I2010">(SUMPRODUCT(("Var_Cap"=[1]OUT_TransportEnergyCons!$B$4:$B$10000)*1,("-"=[1]OUT_TransportEnergyCons!$C$4:$C$10000)*1,ISNUMBER(SEARCH("tfh*h2o*",[1]OUT_TransportEnergyCons!$A$4:$A$10000))*1,[1]OUT_TransportEnergyCons!G$4:G$10000))*1000</f>
        <v>6.3492186417344373E-4</v>
      </c>
      <c r="J2010" s="1" cm="1">
        <f t="array" ref="J2010">(SUMPRODUCT(("Var_Cap"=[1]OUT_TransportEnergyCons!$B$4:$B$10000)*1,("-"=[1]OUT_TransportEnergyCons!$C$4:$C$10000)*1,ISNUMBER(SEARCH("tfh*h2o*",[1]OUT_TransportEnergyCons!$A$4:$A$10000))*1,[1]OUT_TransportEnergyCons!H$4:H$10000))*1000</f>
        <v>9.5886014173928163E-4</v>
      </c>
      <c r="K2010" s="1" cm="1">
        <f t="array" ref="K2010">(SUMPRODUCT(("Var_Cap"=[1]OUT_TransportEnergyCons!$B$4:$B$10000)*1,("-"=[1]OUT_TransportEnergyCons!$C$4:$C$10000)*1,ISNUMBER(SEARCH("tfh*h2o*",[1]OUT_TransportEnergyCons!$A$4:$A$10000))*1,[1]OUT_TransportEnergyCons!I$4:I$10000))*1000</f>
        <v>9.3276044872446398E-4</v>
      </c>
    </row>
    <row r="2011" spans="2:11" x14ac:dyDescent="0.35">
      <c r="B2011" s="5" t="str">
        <f t="shared" si="1321"/>
        <v>SPS1</v>
      </c>
      <c r="C2011" s="5" t="str">
        <f t="shared" si="1322"/>
        <v>CH</v>
      </c>
      <c r="D2011" t="s">
        <v>2138</v>
      </c>
      <c r="E2011" t="s">
        <v>2000</v>
      </c>
      <c r="F2011" s="1" cm="1">
        <f t="array" ref="F2011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1" s="1" cm="1">
        <f t="array" ref="G2011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1" s="1" cm="1">
        <f t="array" ref="H2011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1" s="1" cm="1">
        <f t="array" ref="I2011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1" s="1" cm="1">
        <f t="array" ref="J2011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1" s="1" cm="1">
        <f t="array" ref="K2011">(SUMPRODUCT(("Var_Cap"=[1]OUT_TransportEnergyCons!$B$4:$B$10000)*1,("-"=[1]OUT_TransportEnergyCons!$C$4:$C$10000)*1,ISNUMBER(SEARCH("tfh*ICE*GSL*ext",[1]OUT_TransportEnergyCons!$A$4:$A$10000))*1,[1]OUT_TransportEnergyCons!I$4:I$10000))*1000</f>
        <v>0</v>
      </c>
    </row>
    <row r="2012" spans="2:11" x14ac:dyDescent="0.35">
      <c r="B2012" s="5" t="str">
        <f t="shared" si="1321"/>
        <v>SPS1</v>
      </c>
      <c r="C2012" s="5" t="str">
        <f t="shared" si="1322"/>
        <v>CH</v>
      </c>
      <c r="D2012" t="s">
        <v>2139</v>
      </c>
      <c r="E2012" t="s">
        <v>2000</v>
      </c>
      <c r="F2012" s="1" cm="1">
        <f t="array" ref="F2012">(SUMPRODUCT(("Var_Cap"=[1]OUT_TransportEnergyCons!$B$4:$B$10000)*1,("-"=[1]OUT_TransportEnergyCons!$C$4:$C$10000)*1,ISNUMBER(SEARCH("tfh*ICE*GSL*",[1]OUT_TransportEnergyCons!$A$4:$A$10000))*1,[1]OUT_TransportEnergyCons!D$4:D$10000))*1000-F2011</f>
        <v>0</v>
      </c>
      <c r="G2012" s="1" cm="1">
        <f t="array" ref="G2012">(SUMPRODUCT(("Var_Cap"=[1]OUT_TransportEnergyCons!$B$4:$B$10000)*1,("-"=[1]OUT_TransportEnergyCons!$C$4:$C$10000)*1,ISNUMBER(SEARCH("tfh*ICE*GSL*",[1]OUT_TransportEnergyCons!$A$4:$A$10000))*1,[1]OUT_TransportEnergyCons!E$4:E$10000))*1000-G2011</f>
        <v>0</v>
      </c>
      <c r="H2012" s="1" cm="1">
        <f t="array" ref="H2012">(SUMPRODUCT(("Var_Cap"=[1]OUT_TransportEnergyCons!$B$4:$B$10000)*1,("-"=[1]OUT_TransportEnergyCons!$C$4:$C$10000)*1,ISNUMBER(SEARCH("tfh*ICE*GSL*",[1]OUT_TransportEnergyCons!$A$4:$A$10000))*1,[1]OUT_TransportEnergyCons!F$4:F$10000))*1000-H2011</f>
        <v>0</v>
      </c>
      <c r="I2012" s="1" cm="1">
        <f t="array" ref="I2012">(SUMPRODUCT(("Var_Cap"=[1]OUT_TransportEnergyCons!$B$4:$B$10000)*1,("-"=[1]OUT_TransportEnergyCons!$C$4:$C$10000)*1,ISNUMBER(SEARCH("tfh*ICE*GSL*",[1]OUT_TransportEnergyCons!$A$4:$A$10000))*1,[1]OUT_TransportEnergyCons!G$4:G$10000))*1000-I2011</f>
        <v>0</v>
      </c>
      <c r="J2012" s="1" cm="1">
        <f t="array" ref="J2012">(SUMPRODUCT(("Var_Cap"=[1]OUT_TransportEnergyCons!$B$4:$B$10000)*1,("-"=[1]OUT_TransportEnergyCons!$C$4:$C$10000)*1,ISNUMBER(SEARCH("tfh*ICE*GSL*",[1]OUT_TransportEnergyCons!$A$4:$A$10000))*1,[1]OUT_TransportEnergyCons!H$4:H$10000))*1000-J2011</f>
        <v>0</v>
      </c>
      <c r="K2012" s="1" cm="1">
        <f t="array" ref="K2012">(SUMPRODUCT(("Var_Cap"=[1]OUT_TransportEnergyCons!$B$4:$B$10000)*1,("-"=[1]OUT_TransportEnergyCons!$C$4:$C$10000)*1,ISNUMBER(SEARCH("tfh*ICE*GSL*",[1]OUT_TransportEnergyCons!$A$4:$A$10000))*1,[1]OUT_TransportEnergyCons!I$4:I$10000))*1000-K2011</f>
        <v>0</v>
      </c>
    </row>
    <row r="2013" spans="2:11" x14ac:dyDescent="0.35">
      <c r="B2013" s="5" t="str">
        <f t="shared" si="1321"/>
        <v>SPS1</v>
      </c>
      <c r="C2013" s="5" t="str">
        <f t="shared" si="1322"/>
        <v>CH</v>
      </c>
      <c r="D2013" t="s">
        <v>2140</v>
      </c>
      <c r="E2013" t="s">
        <v>2000</v>
      </c>
      <c r="F2013" s="1" cm="1">
        <f t="array" ref="F2013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3" s="1" cm="1">
        <f t="array" ref="G2013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3" s="1" cm="1">
        <f t="array" ref="H2013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3" s="1" cm="1">
        <f t="array" ref="I2013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3" s="1" cm="1">
        <f t="array" ref="J2013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(SUMPRODUCT(("Var_Cap"=[1]OUT_TransportEnergyCons!$B$4:$B$10000)*1,("-"=[1]OUT_TransportEnergyCons!$C$4:$C$10000)*1,ISNUMBER(SEARCH("tfh*ICE*DSL*ext",[1]OUT_TransportEnergyCons!$A$4:$A$10000))*1,[1]OUT_TransportEnergyCons!I$4:I$10000))*1000</f>
        <v>0</v>
      </c>
    </row>
    <row r="2014" spans="2:11" x14ac:dyDescent="0.35">
      <c r="B2014" s="5" t="str">
        <f t="shared" si="1321"/>
        <v>SPS1</v>
      </c>
      <c r="C2014" s="5" t="str">
        <f t="shared" si="1322"/>
        <v>CH</v>
      </c>
      <c r="D2014" t="s">
        <v>2141</v>
      </c>
      <c r="E2014" t="s">
        <v>2000</v>
      </c>
      <c r="F2014" s="1" cm="1">
        <f t="array" ref="F2014">(SUMPRODUCT(("Var_Cap"=[1]OUT_TransportEnergyCons!$B$4:$B$10000)*1,("-"=[1]OUT_TransportEnergyCons!$C$4:$C$10000)*1,ISNUMBER(SEARCH("tfh*ICE*DSL*",[1]OUT_TransportEnergyCons!$A$4:$A$10000))*1,[1]OUT_TransportEnergyCons!D$4:D$10000))*1000-F2013</f>
        <v>11.613490109427477</v>
      </c>
      <c r="G2014" s="1" cm="1">
        <f t="array" ref="G2014">(SUMPRODUCT(("Var_Cap"=[1]OUT_TransportEnergyCons!$B$4:$B$10000)*1,("-"=[1]OUT_TransportEnergyCons!$C$4:$C$10000)*1,ISNUMBER(SEARCH("tfh*ICE*DSL*",[1]OUT_TransportEnergyCons!$A$4:$A$10000))*1,[1]OUT_TransportEnergyCons!E$4:E$10000))*1000-G2013</f>
        <v>13.613075223808988</v>
      </c>
      <c r="H2014" s="1" cm="1">
        <f t="array" ref="H2014">(SUMPRODUCT(("Var_Cap"=[1]OUT_TransportEnergyCons!$B$4:$B$10000)*1,("-"=[1]OUT_TransportEnergyCons!$C$4:$C$10000)*1,ISNUMBER(SEARCH("tfh*ICE*DSL*",[1]OUT_TransportEnergyCons!$A$4:$A$10000))*1,[1]OUT_TransportEnergyCons!F$4:F$10000))*1000-H2013</f>
        <v>10.684144154647207</v>
      </c>
      <c r="I2014" s="1" cm="1">
        <f t="array" ref="I2014">(SUMPRODUCT(("Var_Cap"=[1]OUT_TransportEnergyCons!$B$4:$B$10000)*1,("-"=[1]OUT_TransportEnergyCons!$C$4:$C$10000)*1,ISNUMBER(SEARCH("tfh*ICE*DSL*",[1]OUT_TransportEnergyCons!$A$4:$A$10000))*1,[1]OUT_TransportEnergyCons!G$4:G$10000))*1000-I2013</f>
        <v>0.98494114256572374</v>
      </c>
      <c r="J2014" s="1" cm="1">
        <f t="array" ref="J2014">(SUMPRODUCT(("Var_Cap"=[1]OUT_TransportEnergyCons!$B$4:$B$10000)*1,("-"=[1]OUT_TransportEnergyCons!$C$4:$C$10000)*1,ISNUMBER(SEARCH("tfh*ICE*DSL*",[1]OUT_TransportEnergyCons!$A$4:$A$10000))*1,[1]OUT_TransportEnergyCons!H$4:H$10000))*1000-J2013</f>
        <v>1.3691503050129799E-3</v>
      </c>
      <c r="K2014" s="1" cm="1">
        <f t="array" ref="K2014">(SUMPRODUCT(("Var_Cap"=[1]OUT_TransportEnergyCons!$B$4:$B$10000)*1,("-"=[1]OUT_TransportEnergyCons!$C$4:$C$10000)*1,ISNUMBER(SEARCH("tfh*ICE*DSL*",[1]OUT_TransportEnergyCons!$A$4:$A$10000))*1,[1]OUT_TransportEnergyCons!I$4:I$10000))*1000-K2013</f>
        <v>1.3527169469923901E-4</v>
      </c>
    </row>
    <row r="2015" spans="2:11" x14ac:dyDescent="0.35">
      <c r="B2015" s="5" t="str">
        <f t="shared" si="1321"/>
        <v>SPS1</v>
      </c>
      <c r="C2015" s="5" t="str">
        <f t="shared" si="1322"/>
        <v>CH</v>
      </c>
      <c r="D2015" t="s">
        <v>2142</v>
      </c>
      <c r="E2015" t="s">
        <v>2000</v>
      </c>
      <c r="F2015" s="1" cm="1">
        <f t="array" ref="F2015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15" s="1" cm="1">
        <f t="array" ref="G2015">(SUMPRODUCT(("Var_Cap"=[1]OUT_TransportEnergyCons!$B$4:$B$10000)*1,("-"=[1]OUT_TransportEnergyCons!$C$4:$C$10000)*1,ISNUMBER(SEARCH("tfh*hyb*DSL*",[1]OUT_TransportEnergyCons!$A$4:$A$10000))*1,[1]OUT_TransportEnergyCons!E$4:E$10000))*1000</f>
        <v>3.56473957513743</v>
      </c>
      <c r="H2015" s="1" cm="1">
        <f t="array" ref="H2015">(SUMPRODUCT(("Var_Cap"=[1]OUT_TransportEnergyCons!$B$4:$B$10000)*1,("-"=[1]OUT_TransportEnergyCons!$C$4:$C$10000)*1,ISNUMBER(SEARCH("tfh*hyb*DSL*",[1]OUT_TransportEnergyCons!$A$4:$A$10000))*1,[1]OUT_TransportEnergyCons!F$4:F$10000))*1000</f>
        <v>12.8764029878933</v>
      </c>
      <c r="I2015" s="1" cm="1">
        <f t="array" ref="I2015">(SUMPRODUCT(("Var_Cap"=[1]OUT_TransportEnergyCons!$B$4:$B$10000)*1,("-"=[1]OUT_TransportEnergyCons!$C$4:$C$10000)*1,ISNUMBER(SEARCH("tfh*hyb*DSL*",[1]OUT_TransportEnergyCons!$A$4:$A$10000))*1,[1]OUT_TransportEnergyCons!G$4:G$10000))*1000</f>
        <v>34.379789278184603</v>
      </c>
      <c r="J2015" s="1" cm="1">
        <f t="array" ref="J2015">(SUMPRODUCT(("Var_Cap"=[1]OUT_TransportEnergyCons!$B$4:$B$10000)*1,("-"=[1]OUT_TransportEnergyCons!$C$4:$C$10000)*1,ISNUMBER(SEARCH("tfh*hyb*DSL*",[1]OUT_TransportEnergyCons!$A$4:$A$10000))*1,[1]OUT_TransportEnergyCons!H$4:H$10000))*1000</f>
        <v>32.871031928439599</v>
      </c>
      <c r="K2015" s="1" cm="1">
        <f t="array" ref="K2015">(SUMPRODUCT(("Var_Cap"=[1]OUT_TransportEnergyCons!$B$4:$B$10000)*1,("-"=[1]OUT_TransportEnergyCons!$C$4:$C$10000)*1,ISNUMBER(SEARCH("tfh*hyb*DSL*",[1]OUT_TransportEnergyCons!$A$4:$A$10000))*1,[1]OUT_TransportEnergyCons!I$4:I$10000))*1000</f>
        <v>1.9320896263213598</v>
      </c>
    </row>
    <row r="2016" spans="2:11" x14ac:dyDescent="0.35">
      <c r="B2016" s="5" t="str">
        <f t="shared" si="1321"/>
        <v>SPS1</v>
      </c>
      <c r="C2016" s="5" t="str">
        <f t="shared" si="1322"/>
        <v>CH</v>
      </c>
      <c r="D2016" t="s">
        <v>2143</v>
      </c>
      <c r="E2016" t="s">
        <v>2000</v>
      </c>
      <c r="F2016" s="1" cm="1">
        <f t="array" ref="F2016">(SUMPRODUCT(("Var_Cap"=[1]OUT_TransportEnergyCons!$B$4:$B$10000)*1,("-"=[1]OUT_TransportEnergyCons!$C$4:$C$10000)*1,ISNUMBER(SEARCH("tfh*ice*nga*",[1]OUT_TransportEnergyCons!$A$4:$A$10000))*1,[1]OUT_TransportEnergyCons!D$4:D$10000))*1000</f>
        <v>0.12193770840507333</v>
      </c>
      <c r="G2016" s="1" cm="1">
        <f t="array" ref="G2016">(SUMPRODUCT(("Var_Cap"=[1]OUT_TransportEnergyCons!$B$4:$B$10000)*1,("-"=[1]OUT_TransportEnergyCons!$C$4:$C$10000)*1,ISNUMBER(SEARCH("tfh*ice*nga*",[1]OUT_TransportEnergyCons!$A$4:$A$10000))*1,[1]OUT_TransportEnergyCons!E$4:E$10000))*1000</f>
        <v>8.2002750170146778E-3</v>
      </c>
      <c r="H2016" s="1" cm="1">
        <f t="array" ref="H2016">(SUMPRODUCT(("Var_Cap"=[1]OUT_TransportEnergyCons!$B$4:$B$10000)*1,("-"=[1]OUT_TransportEnergyCons!$C$4:$C$10000)*1,ISNUMBER(SEARCH("tfh*ice*nga*",[1]OUT_TransportEnergyCons!$A$4:$A$10000))*1,[1]OUT_TransportEnergyCons!F$4:F$10000))*1000</f>
        <v>8.2130376002843338E-3</v>
      </c>
      <c r="I2016" s="1" cm="1">
        <f t="array" ref="I2016">(SUMPRODUCT(("Var_Cap"=[1]OUT_TransportEnergyCons!$B$4:$B$10000)*1,("-"=[1]OUT_TransportEnergyCons!$C$4:$C$10000)*1,ISNUMBER(SEARCH("tfh*ice*nga*",[1]OUT_TransportEnergyCons!$A$4:$A$10000))*1,[1]OUT_TransportEnergyCons!G$4:G$10000))*1000</f>
        <v>8.2227392717648604E-3</v>
      </c>
      <c r="J2016" s="1" cm="1">
        <f t="array" ref="J2016">(SUMPRODUCT(("Var_Cap"=[1]OUT_TransportEnergyCons!$B$4:$B$10000)*1,("-"=[1]OUT_TransportEnergyCons!$C$4:$C$10000)*1,ISNUMBER(SEARCH("tfh*ice*nga*",[1]OUT_TransportEnergyCons!$A$4:$A$10000))*1,[1]OUT_TransportEnergyCons!H$4:H$10000))*1000</f>
        <v>8.2398504252891216E-3</v>
      </c>
      <c r="K2016" s="1" cm="1">
        <f t="array" ref="K2016">(SUMPRODUCT(("Var_Cap"=[1]OUT_TransportEnergyCons!$B$4:$B$10000)*1,("-"=[1]OUT_TransportEnergyCons!$C$4:$C$10000)*1,ISNUMBER(SEARCH("tfh*ice*nga*",[1]OUT_TransportEnergyCons!$A$4:$A$10000))*1,[1]OUT_TransportEnergyCons!I$4:I$10000))*1000</f>
        <v>6.7329700176963902E-4</v>
      </c>
    </row>
    <row r="2017" spans="2:11" x14ac:dyDescent="0.35">
      <c r="B2017" s="5" t="str">
        <f>B2016</f>
        <v>SPS1</v>
      </c>
      <c r="C2017" s="5" t="str">
        <f>C2016</f>
        <v>CH</v>
      </c>
      <c r="D2017" s="2" t="s">
        <v>2144</v>
      </c>
      <c r="E2017" s="2" t="s">
        <v>2155</v>
      </c>
      <c r="F2017" s="3">
        <f t="shared" ref="F2017" si="1323">SUM(F2018,F2022,F2025)</f>
        <v>2.3082175037334601E-4</v>
      </c>
      <c r="G2017" s="3">
        <f t="shared" ref="G2017" si="1324">SUM(G2018,G2022,G2025)</f>
        <v>3.297824427900842E-4</v>
      </c>
      <c r="H2017" s="3">
        <f t="shared" ref="H2017" si="1325">SUM(H2018,H2022,H2025)</f>
        <v>4.07557696052634E-4</v>
      </c>
      <c r="I2017" s="3">
        <f t="shared" ref="I2017" si="1326">SUM(I2018,I2022,I2025)</f>
        <v>1.4679248184762518E-3</v>
      </c>
      <c r="J2017" s="3">
        <f t="shared" ref="J2017" si="1327">SUM(J2018,J2022,J2025)</f>
        <v>0.54584532324930934</v>
      </c>
      <c r="K2017" s="3">
        <f t="shared" ref="K2017" si="1328">SUM(K2018,K2022,K2025)</f>
        <v>1.7641578742622677</v>
      </c>
    </row>
    <row r="2018" spans="2:11" x14ac:dyDescent="0.35">
      <c r="B2018" s="5" t="str">
        <f t="shared" ref="B2018:B2027" si="1329">B2017</f>
        <v>SPS1</v>
      </c>
      <c r="C2018" s="5" t="str">
        <f t="shared" ref="C2018:C2027" si="1330">C2017</f>
        <v>CH</v>
      </c>
      <c r="D2018" t="s">
        <v>2145</v>
      </c>
      <c r="E2018" t="s">
        <v>2155</v>
      </c>
      <c r="F2018" s="1" cm="1">
        <f t="array" ref="F2018">SUMPRODUCT(ISNUMBER(SEARCH("SUP_ELCH2*",[1]OUT_SyntheticFuels!$C$4:$C$1000))*1,("Var_cap"=[1]OUT_SyntheticFuels!$B$4:$B$1000)*1,[1]OUT_SyntheticFuels!E$4:E$1000)</f>
        <v>2.3082175037334601E-4</v>
      </c>
      <c r="G2018" s="1" cm="1">
        <f t="array" ref="G2018">SUMPRODUCT(ISNUMBER(SEARCH("SUP_ELCH2*",[1]OUT_SyntheticFuels!$C$4:$C$1000))*1,("Var_cap"=[1]OUT_SyntheticFuels!$B$4:$B$1000)*1,[1]OUT_SyntheticFuels!F$4:F$1000)</f>
        <v>3.297824427900842E-4</v>
      </c>
      <c r="H2018" s="1" cm="1">
        <f t="array" ref="H2018">SUMPRODUCT(ISNUMBER(SEARCH("SUP_ELCH2*",[1]OUT_SyntheticFuels!$C$4:$C$1000))*1,("Var_cap"=[1]OUT_SyntheticFuels!$B$4:$B$1000)*1,[1]OUT_SyntheticFuels!G$4:G$1000)</f>
        <v>4.07557696052634E-4</v>
      </c>
      <c r="I2018" s="1" cm="1">
        <f t="array" ref="I2018">SUMPRODUCT(ISNUMBER(SEARCH("SUP_ELCH2*",[1]OUT_SyntheticFuels!$C$4:$C$1000))*1,("Var_cap"=[1]OUT_SyntheticFuels!$B$4:$B$1000)*1,[1]OUT_SyntheticFuels!H$4:H$1000)</f>
        <v>1.4677266955415082E-3</v>
      </c>
      <c r="J2018" s="1" cm="1">
        <f t="array" ref="J2018">SUMPRODUCT(ISNUMBER(SEARCH("SUP_ELCH2*",[1]OUT_SyntheticFuels!$C$4:$C$1000))*1,("Var_cap"=[1]OUT_SyntheticFuels!$B$4:$B$1000)*1,[1]OUT_SyntheticFuels!I$4:I$1000)</f>
        <v>0.54584437973293765</v>
      </c>
      <c r="K2018" s="1" cm="1">
        <f t="array" ref="K2018">SUMPRODUCT(ISNUMBER(SEARCH("SUP_ELCH2*",[1]OUT_SyntheticFuels!$C$4:$C$1000))*1,("Var_cap"=[1]OUT_SyntheticFuels!$B$4:$B$1000)*1,[1]OUT_SyntheticFuels!J$4:J$1000)</f>
        <v>1.524135788449609</v>
      </c>
    </row>
    <row r="2019" spans="2:11" x14ac:dyDescent="0.35">
      <c r="B2019" s="5" t="str">
        <f t="shared" si="1329"/>
        <v>SPS1</v>
      </c>
      <c r="C2019" s="5" t="str">
        <f t="shared" si="1330"/>
        <v>CH</v>
      </c>
      <c r="D2019" t="s">
        <v>2146</v>
      </c>
      <c r="E2019" t="s">
        <v>2155</v>
      </c>
      <c r="F2019" s="1">
        <f t="shared" ref="F2019" si="1331">F2018-F2020-F2021</f>
        <v>2.3082175037334601E-4</v>
      </c>
      <c r="G2019" s="1">
        <f t="shared" ref="G2019" si="1332">G2018-G2020-G2021</f>
        <v>3.297824427900842E-4</v>
      </c>
      <c r="H2019" s="1">
        <f t="shared" ref="H2019" si="1333">H2018-H2020-H2021</f>
        <v>4.07557696052634E-4</v>
      </c>
      <c r="I2019" s="1">
        <f t="shared" ref="I2019" si="1334">I2018-I2020-I2021</f>
        <v>1.4643275960706716E-3</v>
      </c>
      <c r="J2019" s="1">
        <f t="shared" ref="J2019" si="1335">J2018-J2020-J2021</f>
        <v>0.42906259551321674</v>
      </c>
      <c r="K2019" s="1">
        <f t="shared" ref="K2019" si="1336">K2018-K2020-K2021</f>
        <v>1.3613917073816713</v>
      </c>
    </row>
    <row r="2020" spans="2:11" x14ac:dyDescent="0.35">
      <c r="B2020" s="5" t="str">
        <f t="shared" si="1329"/>
        <v>SPS1</v>
      </c>
      <c r="C2020" s="5" t="str">
        <f t="shared" si="1330"/>
        <v>CH</v>
      </c>
      <c r="D2020" t="s">
        <v>2147</v>
      </c>
      <c r="E2020" t="s">
        <v>2155</v>
      </c>
      <c r="F2020" s="1" cm="1">
        <f t="array" ref="F2020">SUMPRODUCT(ISNUMBER(SEARCH("SUP_ELCH2*D",[1]OUT_SyntheticFuels!$C$4:$C$1000))*1,("Var_cap"=[1]OUT_SyntheticFuels!$B$4:$B$1000)*1,[1]OUT_SyntheticFuels!E$4:E$1000)</f>
        <v>0</v>
      </c>
      <c r="G2020" s="1" cm="1">
        <f t="array" ref="G2020">SUMPRODUCT(ISNUMBER(SEARCH("SUP_ELCH2*D",[1]OUT_SyntheticFuels!$C$4:$C$1000))*1,("Var_cap"=[1]OUT_SyntheticFuels!$B$4:$B$1000)*1,[1]OUT_SyntheticFuels!F$4:F$1000)</f>
        <v>0</v>
      </c>
      <c r="H2020" s="1" cm="1">
        <f t="array" ref="H2020">SUMPRODUCT(ISNUMBER(SEARCH("SUP_ELCH2*D",[1]OUT_SyntheticFuels!$C$4:$C$1000))*1,("Var_cap"=[1]OUT_SyntheticFuels!$B$4:$B$1000)*1,[1]OUT_SyntheticFuels!G$4:G$1000)</f>
        <v>0</v>
      </c>
      <c r="I2020" s="1" cm="1">
        <f t="array" ref="I2020">SUMPRODUCT(ISNUMBER(SEARCH("SUP_ELCH2*D",[1]OUT_SyntheticFuels!$C$4:$C$1000))*1,("Var_cap"=[1]OUT_SyntheticFuels!$B$4:$B$1000)*1,[1]OUT_SyntheticFuels!H$4:H$1000)</f>
        <v>3.3990994708365702E-6</v>
      </c>
      <c r="J2020" s="1" cm="1">
        <f t="array" ref="J2020">SUMPRODUCT(ISNUMBER(SEARCH("SUP_ELCH2*D",[1]OUT_SyntheticFuels!$C$4:$C$1000))*1,("Var_cap"=[1]OUT_SyntheticFuels!$B$4:$B$1000)*1,[1]OUT_SyntheticFuels!I$4:I$1000)</f>
        <v>0.116601184032031</v>
      </c>
      <c r="K2020" s="1" cm="1">
        <f t="array" ref="K2020">SUMPRODUCT(ISNUMBER(SEARCH("SUP_ELCH2*D",[1]OUT_SyntheticFuels!$C$4:$C$1000))*1,("Var_cap"=[1]OUT_SyntheticFuels!$B$4:$B$1000)*1,[1]OUT_SyntheticFuels!J$4:J$1000)</f>
        <v>0.16258706308013501</v>
      </c>
    </row>
    <row r="2021" spans="2:11" x14ac:dyDescent="0.35">
      <c r="B2021" s="5" t="str">
        <f t="shared" si="1329"/>
        <v>SPS1</v>
      </c>
      <c r="C2021" s="5" t="str">
        <f t="shared" si="1330"/>
        <v>CH</v>
      </c>
      <c r="D2021" t="s">
        <v>2148</v>
      </c>
      <c r="E2021" t="s">
        <v>2155</v>
      </c>
      <c r="F2021" s="1" cm="1">
        <f t="array" ref="F2021">SUMPRODUCT(ISNUMBER(SEARCH("SUP_ELCH2*SOEC*",[1]OUT_SyntheticFuels!$C$4:$C$1000))*1,("Var_cap"=[1]OUT_SyntheticFuels!$B$4:$B$1000)*1,[1]OUT_SyntheticFuels!E$4:E$1000)</f>
        <v>0</v>
      </c>
      <c r="G2021" s="1" cm="1">
        <f t="array" ref="G2021">SUMPRODUCT(ISNUMBER(SEARCH("SUP_ELCH2*SOEC*",[1]OUT_SyntheticFuels!$C$4:$C$1000))*1,("Var_cap"=[1]OUT_SyntheticFuels!$B$4:$B$1000)*1,[1]OUT_SyntheticFuels!F$4:F$1000)</f>
        <v>0</v>
      </c>
      <c r="H2021" s="1" cm="1">
        <f t="array" ref="H2021">SUMPRODUCT(ISNUMBER(SEARCH("SUP_ELCH2*SOEC*",[1]OUT_SyntheticFuels!$C$4:$C$1000))*1,("Var_cap"=[1]OUT_SyntheticFuels!$B$4:$B$1000)*1,[1]OUT_SyntheticFuels!G$4:G$1000)</f>
        <v>0</v>
      </c>
      <c r="I2021" s="1" cm="1">
        <f t="array" ref="I2021">SUMPRODUCT(ISNUMBER(SEARCH("SUP_ELCH2*SOEC*",[1]OUT_SyntheticFuels!$C$4:$C$1000))*1,("Var_cap"=[1]OUT_SyntheticFuels!$B$4:$B$1000)*1,[1]OUT_SyntheticFuels!H$4:H$1000)</f>
        <v>0</v>
      </c>
      <c r="J2021" s="1" cm="1">
        <f t="array" ref="J2021">SUMPRODUCT(ISNUMBER(SEARCH("SUP_ELCH2*SOEC*",[1]OUT_SyntheticFuels!$C$4:$C$1000))*1,("Var_cap"=[1]OUT_SyntheticFuels!$B$4:$B$1000)*1,[1]OUT_SyntheticFuels!I$4:I$1000)</f>
        <v>1.8060018768991401E-4</v>
      </c>
      <c r="K2021" s="1" cm="1">
        <f t="array" ref="K2021">SUMPRODUCT(ISNUMBER(SEARCH("SUP_ELCH2*SOEC*",[1]OUT_SyntheticFuels!$C$4:$C$1000))*1,("Var_cap"=[1]OUT_SyntheticFuels!$B$4:$B$1000)*1,[1]OUT_SyntheticFuels!J$4:J$1000)</f>
        <v>1.5701798780281656E-4</v>
      </c>
    </row>
    <row r="2022" spans="2:11" x14ac:dyDescent="0.35">
      <c r="B2022" s="5" t="str">
        <f t="shared" si="1329"/>
        <v>SPS1</v>
      </c>
      <c r="C2022" s="5" t="str">
        <f t="shared" si="1330"/>
        <v>CH</v>
      </c>
      <c r="D2022" t="s">
        <v>2149</v>
      </c>
      <c r="E2022" t="s">
        <v>2155</v>
      </c>
      <c r="F2022" s="1">
        <f t="shared" ref="F2022" si="1337">SUM(F2023:F2024)</f>
        <v>0</v>
      </c>
      <c r="G2022" s="1">
        <f t="shared" ref="G2022" si="1338">SUM(G2023:G2024)</f>
        <v>0</v>
      </c>
      <c r="H2022" s="1">
        <f t="shared" ref="H2022" si="1339">SUM(H2023:H2024)</f>
        <v>0</v>
      </c>
      <c r="I2022" s="1">
        <f t="shared" ref="I2022" si="1340">SUM(I2023:I2024)</f>
        <v>1.98122934743707E-7</v>
      </c>
      <c r="J2022" s="1">
        <f t="shared" ref="J2022" si="1341">SUM(J2023:J2024)</f>
        <v>9.4351637169579197E-7</v>
      </c>
      <c r="K2022" s="1">
        <f t="shared" ref="K2022" si="1342">SUM(K2023:K2024)</f>
        <v>8.7197780698898952E-3</v>
      </c>
    </row>
    <row r="2023" spans="2:11" x14ac:dyDescent="0.35">
      <c r="B2023" s="5" t="str">
        <f t="shared" si="1329"/>
        <v>SPS1</v>
      </c>
      <c r="C2023" s="5" t="str">
        <f t="shared" si="1330"/>
        <v>CH</v>
      </c>
      <c r="D2023" t="s">
        <v>2150</v>
      </c>
      <c r="E2023" t="s">
        <v>2155</v>
      </c>
      <c r="F2023" s="1" cm="1">
        <f t="array" ref="F2023">SUMPRODUCT(ISNUMBER(SEARCH("SUP_NGAH2",[1]OUT_SyntheticFuels!$C$4:$C$1000))*1,("Var_cap"=[1]OUT_SyntheticFuels!$B$4:$B$1000)*1,[1]OUT_SyntheticFuels!E$4:E$1000)-F2024</f>
        <v>0</v>
      </c>
      <c r="G2023" s="1" cm="1">
        <f t="array" ref="G2023">SUMPRODUCT(ISNUMBER(SEARCH("SUP_NGAH2",[1]OUT_SyntheticFuels!$C$4:$C$1000))*1,("Var_cap"=[1]OUT_SyntheticFuels!$B$4:$B$1000)*1,[1]OUT_SyntheticFuels!F$4:F$1000)-G2024</f>
        <v>0</v>
      </c>
      <c r="H2023" s="1" cm="1">
        <f t="array" ref="H2023">SUMPRODUCT(ISNUMBER(SEARCH("SUP_NGAH2",[1]OUT_SyntheticFuels!$C$4:$C$1000))*1,("Var_cap"=[1]OUT_SyntheticFuels!$B$4:$B$1000)*1,[1]OUT_SyntheticFuels!G$4:G$1000)-H2024</f>
        <v>0</v>
      </c>
      <c r="I2023" s="1" cm="1">
        <f t="array" ref="I2023">SUMPRODUCT(ISNUMBER(SEARCH("SUP_NGAH2",[1]OUT_SyntheticFuels!$C$4:$C$1000))*1,("Var_cap"=[1]OUT_SyntheticFuels!$B$4:$B$1000)*1,[1]OUT_SyntheticFuels!H$4:H$1000)-I2024</f>
        <v>1.98122934743707E-7</v>
      </c>
      <c r="J2023" s="1" cm="1">
        <f t="array" ref="J2023">SUMPRODUCT(ISNUMBER(SEARCH("SUP_NGAH2",[1]OUT_SyntheticFuels!$C$4:$C$1000))*1,("Var_cap"=[1]OUT_SyntheticFuels!$B$4:$B$1000)*1,[1]OUT_SyntheticFuels!I$4:I$1000)-J2024</f>
        <v>6.6043793892263703E-7</v>
      </c>
      <c r="K2023" s="1" cm="1">
        <f t="array" ref="K2023">SUMPRODUCT(ISNUMBER(SEARCH("SUP_NGAH2",[1]OUT_SyntheticFuels!$C$4:$C$1000))*1,("Var_cap"=[1]OUT_SyntheticFuels!$B$4:$B$1000)*1,[1]OUT_SyntheticFuels!J$4:J$1000)-K2024</f>
        <v>5.6770405170727956E-5</v>
      </c>
    </row>
    <row r="2024" spans="2:11" x14ac:dyDescent="0.35">
      <c r="B2024" s="5" t="str">
        <f t="shared" si="1329"/>
        <v>SPS1</v>
      </c>
      <c r="C2024" s="5" t="str">
        <f t="shared" si="1330"/>
        <v>CH</v>
      </c>
      <c r="D2024" t="s">
        <v>2151</v>
      </c>
      <c r="E2024" t="s">
        <v>2155</v>
      </c>
      <c r="F2024" s="1" cm="1">
        <f t="array" ref="F2024">SUMPRODUCT(ISNUMBER(SEARCH("SUP_NGAH2CCS",[1]OUT_SyntheticFuels!$C$4:$C$1000))*1,("Var_cap"=[1]OUT_SyntheticFuels!$B$4:$B$1000)*1,[1]OUT_SyntheticFuels!E$4:E$1000)</f>
        <v>0</v>
      </c>
      <c r="G2024" s="1" cm="1">
        <f t="array" ref="G2024">SUMPRODUCT(ISNUMBER(SEARCH("SUP_NGAH2CCS",[1]OUT_SyntheticFuels!$C$4:$C$1000))*1,("Var_cap"=[1]OUT_SyntheticFuels!$B$4:$B$1000)*1,[1]OUT_SyntheticFuels!F$4:F$1000)</f>
        <v>0</v>
      </c>
      <c r="H2024" s="1" cm="1">
        <f t="array" ref="H2024">SUMPRODUCT(ISNUMBER(SEARCH("SUP_NGAH2CCS",[1]OUT_SyntheticFuels!$C$4:$C$1000))*1,("Var_cap"=[1]OUT_SyntheticFuels!$B$4:$B$1000)*1,[1]OUT_SyntheticFuels!G$4:G$1000)</f>
        <v>0</v>
      </c>
      <c r="I2024" s="1" cm="1">
        <f t="array" ref="I2024">SUMPRODUCT(ISNUMBER(SEARCH("SUP_NGAH2CCS",[1]OUT_SyntheticFuels!$C$4:$C$1000))*1,("Var_cap"=[1]OUT_SyntheticFuels!$B$4:$B$1000)*1,[1]OUT_SyntheticFuels!H$4:H$1000)</f>
        <v>0</v>
      </c>
      <c r="J2024" s="1" cm="1">
        <f t="array" ref="J2024">SUMPRODUCT(ISNUMBER(SEARCH("SUP_NGAH2CCS",[1]OUT_SyntheticFuels!$C$4:$C$1000))*1,("Var_cap"=[1]OUT_SyntheticFuels!$B$4:$B$1000)*1,[1]OUT_SyntheticFuels!I$4:I$1000)</f>
        <v>2.8307843277315499E-7</v>
      </c>
      <c r="K2024" s="1" cm="1">
        <f t="array" ref="K2024">SUMPRODUCT(ISNUMBER(SEARCH("SUP_NGAH2CCS",[1]OUT_SyntheticFuels!$C$4:$C$1000))*1,("Var_cap"=[1]OUT_SyntheticFuels!$B$4:$B$1000)*1,[1]OUT_SyntheticFuels!J$4:J$1000)</f>
        <v>8.6630076647191672E-3</v>
      </c>
    </row>
    <row r="2025" spans="2:11" x14ac:dyDescent="0.35">
      <c r="B2025" s="5" t="str">
        <f t="shared" si="1329"/>
        <v>SPS1</v>
      </c>
      <c r="C2025" s="5" t="str">
        <f t="shared" si="1330"/>
        <v>CH</v>
      </c>
      <c r="D2025" t="s">
        <v>2152</v>
      </c>
      <c r="E2025" t="s">
        <v>2155</v>
      </c>
      <c r="F2025" s="1">
        <f t="shared" ref="F2025" si="1343">SUM(F2026:F2027)</f>
        <v>0</v>
      </c>
      <c r="G2025" s="1">
        <f t="shared" ref="G2025" si="1344">SUM(G2026:G2027)</f>
        <v>0</v>
      </c>
      <c r="H2025" s="1">
        <f t="shared" ref="H2025" si="1345">SUM(H2026:H2027)</f>
        <v>0</v>
      </c>
      <c r="I2025" s="1">
        <f t="shared" ref="I2025" si="1346">SUM(I2026:I2027)</f>
        <v>0</v>
      </c>
      <c r="J2025" s="1">
        <f t="shared" ref="J2025" si="1347">SUM(J2026:J2027)</f>
        <v>0</v>
      </c>
      <c r="K2025" s="1">
        <f t="shared" ref="K2025" si="1348">SUM(K2026:K2027)</f>
        <v>0.2313023077427688</v>
      </c>
    </row>
    <row r="2026" spans="2:11" x14ac:dyDescent="0.35">
      <c r="B2026" s="5" t="str">
        <f t="shared" si="1329"/>
        <v>SPS1</v>
      </c>
      <c r="C2026" s="5" t="str">
        <f t="shared" si="1330"/>
        <v>CH</v>
      </c>
      <c r="D2026" t="s">
        <v>2153</v>
      </c>
      <c r="E2026" t="s">
        <v>2155</v>
      </c>
      <c r="F2026" s="1" cm="1">
        <f t="array" ref="F2026">SUMPRODUCT(ISNUMBER(SEARCH("SUP_WODH2",[1]OUT_SyntheticFuels!$C$4:$C$1000))*1,("Var_cap"=[1]OUT_SyntheticFuels!$B$4:$B$1000)*1,[1]OUT_SyntheticFuels!E$4:E$1000)-F2027</f>
        <v>0</v>
      </c>
      <c r="G2026" s="1" cm="1">
        <f t="array" ref="G2026">SUMPRODUCT(ISNUMBER(SEARCH("SUP_WODH2",[1]OUT_SyntheticFuels!$C$4:$C$1000))*1,("Var_cap"=[1]OUT_SyntheticFuels!$B$4:$B$1000)*1,[1]OUT_SyntheticFuels!F$4:F$1000)-G2027</f>
        <v>0</v>
      </c>
      <c r="H2026" s="1" cm="1">
        <f t="array" ref="H2026">SUMPRODUCT(ISNUMBER(SEARCH("SUP_WODH2",[1]OUT_SyntheticFuels!$C$4:$C$1000))*1,("Var_cap"=[1]OUT_SyntheticFuels!$B$4:$B$1000)*1,[1]OUT_SyntheticFuels!G$4:G$1000)-H2027</f>
        <v>0</v>
      </c>
      <c r="I2026" s="1" cm="1">
        <f t="array" ref="I2026">SUMPRODUCT(ISNUMBER(SEARCH("SUP_WODH2",[1]OUT_SyntheticFuels!$C$4:$C$1000))*1,("Var_cap"=[1]OUT_SyntheticFuels!$B$4:$B$1000)*1,[1]OUT_SyntheticFuels!H$4:H$1000)-I2027</f>
        <v>0</v>
      </c>
      <c r="J2026" s="1" cm="1">
        <f t="array" ref="J2026">SUMPRODUCT(ISNUMBER(SEARCH("SUP_WODH2",[1]OUT_SyntheticFuels!$C$4:$C$1000))*1,("Var_cap"=[1]OUT_SyntheticFuels!$B$4:$B$1000)*1,[1]OUT_SyntheticFuels!I$4:I$1000)-J2027</f>
        <v>0</v>
      </c>
      <c r="K2026" s="1" cm="1">
        <f t="array" ref="K2026">SUMPRODUCT(ISNUMBER(SEARCH("SUP_WODH2",[1]OUT_SyntheticFuels!$C$4:$C$1000))*1,("Var_cap"=[1]OUT_SyntheticFuels!$B$4:$B$1000)*1,[1]OUT_SyntheticFuels!J$4:J$1000)-K2027</f>
        <v>1.4206033518815442E-5</v>
      </c>
    </row>
    <row r="2027" spans="2:11" x14ac:dyDescent="0.35">
      <c r="B2027" s="5" t="str">
        <f t="shared" si="1329"/>
        <v>SPS1</v>
      </c>
      <c r="C2027" s="5" t="str">
        <f t="shared" si="1330"/>
        <v>CH</v>
      </c>
      <c r="D2027" t="s">
        <v>2154</v>
      </c>
      <c r="E2027" t="s">
        <v>2155</v>
      </c>
      <c r="F2027" s="1" cm="1">
        <f t="array" ref="F2027">SUMPRODUCT(ISNUMBER(SEARCH("SUP_WODH2CCS",[1]OUT_SyntheticFuels!$C$4:$C$1000))*1,("Var_cap"=[1]OUT_SyntheticFuels!$B$4:$B$1000)*1,[1]OUT_SyntheticFuels!E$4:E$1000)</f>
        <v>0</v>
      </c>
      <c r="G2027" s="1" cm="1">
        <f t="array" ref="G2027">SUMPRODUCT(ISNUMBER(SEARCH("SUP_WODH2CCS",[1]OUT_SyntheticFuels!$C$4:$C$1000))*1,("Var_cap"=[1]OUT_SyntheticFuels!$B$4:$B$1000)*1,[1]OUT_SyntheticFuels!F$4:F$1000)</f>
        <v>0</v>
      </c>
      <c r="H2027" s="1" cm="1">
        <f t="array" ref="H2027">SUMPRODUCT(ISNUMBER(SEARCH("SUP_WODH2CCS",[1]OUT_SyntheticFuels!$C$4:$C$1000))*1,("Var_cap"=[1]OUT_SyntheticFuels!$B$4:$B$1000)*1,[1]OUT_SyntheticFuels!G$4:G$1000)</f>
        <v>0</v>
      </c>
      <c r="I2027" s="1" cm="1">
        <f t="array" ref="I2027">SUMPRODUCT(ISNUMBER(SEARCH("SUP_WODH2CCS",[1]OUT_SyntheticFuels!$C$4:$C$1000))*1,("Var_cap"=[1]OUT_SyntheticFuels!$B$4:$B$1000)*1,[1]OUT_SyntheticFuels!H$4:H$1000)</f>
        <v>0</v>
      </c>
      <c r="J2027" s="1" cm="1">
        <f t="array" ref="J2027">SUMPRODUCT(ISNUMBER(SEARCH("SUP_WODH2CCS",[1]OUT_SyntheticFuels!$C$4:$C$1000))*1,("Var_cap"=[1]OUT_SyntheticFuels!$B$4:$B$1000)*1,[1]OUT_SyntheticFuels!I$4:I$1000)</f>
        <v>0</v>
      </c>
      <c r="K2027" s="1" cm="1">
        <f t="array" ref="K2027">SUMPRODUCT(ISNUMBER(SEARCH("SUP_WODH2CCS",[1]OUT_SyntheticFuels!$C$4:$C$1000))*1,("Var_cap"=[1]OUT_SyntheticFuels!$B$4:$B$1000)*1,[1]OUT_SyntheticFuels!J$4:J$1000)</f>
        <v>0.23128810170924999</v>
      </c>
    </row>
    <row r="2028" spans="2:11" x14ac:dyDescent="0.35">
      <c r="B2028" s="5" t="str">
        <f>B2027</f>
        <v>SPS1</v>
      </c>
      <c r="C2028" s="5" t="str">
        <f>C2027</f>
        <v>CH</v>
      </c>
      <c r="D2028" s="2" t="s">
        <v>2159</v>
      </c>
      <c r="E2028" s="2" t="s">
        <v>2157</v>
      </c>
      <c r="F2028" s="26"/>
      <c r="G2028" s="26"/>
      <c r="H2028" s="26"/>
      <c r="I2028" s="26"/>
      <c r="J2028" s="26"/>
      <c r="K2028" s="26"/>
    </row>
    <row r="2029" spans="2:11" x14ac:dyDescent="0.35">
      <c r="B2029" s="5" t="str">
        <f t="shared" ref="B2029:B2044" si="1349">B2028</f>
        <v>SPS1</v>
      </c>
      <c r="C2029" s="5" t="str">
        <f t="shared" ref="C2029:C2044" si="1350">C2028</f>
        <v>CH</v>
      </c>
      <c r="D2029" t="s">
        <v>2163</v>
      </c>
      <c r="E2029" t="s">
        <v>2157</v>
      </c>
      <c r="F2029" s="7" cm="1">
        <f t="array" ref="F2029">SUMPRODUCT(("CT_CWODBDS"=[1]OUT_SyntheticFuels!$C$4:$C$1000)*1,("Var_cap"=[1]OUT_SyntheticFuels!$B$4:$B$1000)*1,[1]OUT_SyntheticFuels!E$4:E$1000)</f>
        <v>4.5800358996004917E-2</v>
      </c>
      <c r="G2029" s="7" cm="1">
        <f t="array" ref="G2029">SUMPRODUCT(("CT_CWODBDS"=[1]OUT_SyntheticFuels!$C$4:$C$1000)*1,("Var_cap"=[1]OUT_SyntheticFuels!$B$4:$B$1000)*1,[1]OUT_SyntheticFuels!F$4:F$1000)</f>
        <v>4.5798795432729633E-2</v>
      </c>
      <c r="H2029" s="7" cm="1">
        <f t="array" ref="H2029">SUMPRODUCT(("CT_CWODBDS"=[1]OUT_SyntheticFuels!$C$4:$C$1000)*1,("Var_cap"=[1]OUT_SyntheticFuels!$B$4:$B$1000)*1,[1]OUT_SyntheticFuels!G$4:G$1000)</f>
        <v>4.5798470278700293E-2</v>
      </c>
      <c r="I2029" s="7" cm="1">
        <f t="array" ref="I2029">SUMPRODUCT(("CT_CWODBDS"=[1]OUT_SyntheticFuels!$C$4:$C$1000)*1,("Var_cap"=[1]OUT_SyntheticFuels!$B$4:$B$1000)*1,[1]OUT_SyntheticFuels!H$4:H$1000)</f>
        <v>2.1895221008871868E-5</v>
      </c>
      <c r="J2029" s="7" cm="1">
        <f t="array" ref="J2029">SUMPRODUCT(("CT_CWODBDS"=[1]OUT_SyntheticFuels!$C$4:$C$1000)*1,("Var_cap"=[1]OUT_SyntheticFuels!$B$4:$B$1000)*1,[1]OUT_SyntheticFuels!I$4:I$1000)</f>
        <v>1.3484439350997334E-5</v>
      </c>
      <c r="K2029" s="7" cm="1">
        <f t="array" ref="K2029">SUMPRODUCT(("CT_CWODBDS"=[1]OUT_SyntheticFuels!$C$4:$C$1000)*1,("Var_cap"=[1]OUT_SyntheticFuels!$B$4:$B$1000)*1,[1]OUT_SyntheticFuels!J$4:J$1000)</f>
        <v>1.1659785067274223E-5</v>
      </c>
    </row>
    <row r="2030" spans="2:11" x14ac:dyDescent="0.35">
      <c r="B2030" s="5" t="str">
        <f t="shared" si="1349"/>
        <v>SPS1</v>
      </c>
      <c r="C2030" s="5" t="str">
        <f t="shared" si="1350"/>
        <v>CH</v>
      </c>
      <c r="D2030" t="s">
        <v>2164</v>
      </c>
      <c r="E2030" t="s">
        <v>2157</v>
      </c>
      <c r="F2030" s="7" cm="1">
        <f t="array" ref="F2030">SUMPRODUCT(("CT_CWODBDSCCS"=[1]OUT_SyntheticFuels!$C$4:$C$1000)*1,("Var_cap"=[1]OUT_SyntheticFuels!$B$4:$B$1000)*1,[1]OUT_SyntheticFuels!E$4:E$1000)</f>
        <v>0</v>
      </c>
      <c r="G2030" s="7" cm="1">
        <f t="array" ref="G2030">SUMPRODUCT(("CT_CWODBDSCCS"=[1]OUT_SyntheticFuels!$C$4:$C$1000)*1,("Var_cap"=[1]OUT_SyntheticFuels!$B$4:$B$1000)*1,[1]OUT_SyntheticFuels!F$4:F$1000)</f>
        <v>0</v>
      </c>
      <c r="H2030" s="7" cm="1">
        <f t="array" ref="H2030">SUMPRODUCT(("CT_CWODBDSCCS"=[1]OUT_SyntheticFuels!$C$4:$C$1000)*1,("Var_cap"=[1]OUT_SyntheticFuels!$B$4:$B$1000)*1,[1]OUT_SyntheticFuels!G$4:G$1000)</f>
        <v>0</v>
      </c>
      <c r="I2030" s="7" cm="1">
        <f t="array" ref="I2030">SUMPRODUCT(("CT_CWODBDSCCS"=[1]OUT_SyntheticFuels!$C$4:$C$1000)*1,("Var_cap"=[1]OUT_SyntheticFuels!$B$4:$B$1000)*1,[1]OUT_SyntheticFuels!H$4:H$1000)</f>
        <v>0</v>
      </c>
      <c r="J2030" s="7" cm="1">
        <f t="array" ref="J2030">SUMPRODUCT(("CT_CWODBDSCCS"=[1]OUT_SyntheticFuels!$C$4:$C$1000)*1,("Var_cap"=[1]OUT_SyntheticFuels!$B$4:$B$1000)*1,[1]OUT_SyntheticFuels!I$4:I$1000)</f>
        <v>1.0326071777902701E-5</v>
      </c>
      <c r="K2030" s="7" cm="1">
        <f t="array" ref="K2030">SUMPRODUCT(("CT_CWODBDSCCS"=[1]OUT_SyntheticFuels!$C$4:$C$1000)*1,("Var_cap"=[1]OUT_SyntheticFuels!$B$4:$B$1000)*1,[1]OUT_SyntheticFuels!J$4:J$1000)</f>
        <v>0.12907690033483399</v>
      </c>
    </row>
    <row r="2031" spans="2:11" x14ac:dyDescent="0.35">
      <c r="B2031" s="5" t="str">
        <f t="shared" si="1349"/>
        <v>SPS1</v>
      </c>
      <c r="C2031" s="5" t="str">
        <f t="shared" si="1350"/>
        <v>CH</v>
      </c>
      <c r="D2031" t="s">
        <v>2168</v>
      </c>
      <c r="E2031" t="s">
        <v>2157</v>
      </c>
      <c r="F2031" s="7" cm="1">
        <f t="array" ref="F2031">SUMPRODUCT(("CT_CWODETH"=[1]OUT_SyntheticFuels!$C$4:$C$1000)*1,("Var_cap"=[1]OUT_SyntheticFuels!$B$4:$B$1000)*1,[1]OUT_SyntheticFuels!E$4:E$1000)</f>
        <v>7.1396876010272189E-3</v>
      </c>
      <c r="G2031" s="7" cm="1">
        <f t="array" ref="G2031">SUMPRODUCT(("CT_CWODETH"=[1]OUT_SyntheticFuels!$C$4:$C$1000)*1,("Var_cap"=[1]OUT_SyntheticFuels!$B$4:$B$1000)*1,[1]OUT_SyntheticFuels!F$4:F$1000)</f>
        <v>7.1398032526283793E-3</v>
      </c>
      <c r="H2031" s="7" cm="1">
        <f t="array" ref="H2031">SUMPRODUCT(("CT_CWODETH"=[1]OUT_SyntheticFuels!$C$4:$C$1000)*1,("Var_cap"=[1]OUT_SyntheticFuels!$B$4:$B$1000)*1,[1]OUT_SyntheticFuels!G$4:G$1000)</f>
        <v>7.147143931560177E-3</v>
      </c>
      <c r="I2031" s="7" cm="1">
        <f t="array" ref="I2031">SUMPRODUCT(("CT_CWODETH"=[1]OUT_SyntheticFuels!$C$4:$C$1000)*1,("Var_cap"=[1]OUT_SyntheticFuels!$B$4:$B$1000)*1,[1]OUT_SyntheticFuels!H$4:H$1000)</f>
        <v>1.6738397306870212E-5</v>
      </c>
      <c r="J2031" s="7" cm="1">
        <f t="array" ref="J2031">SUMPRODUCT(("CT_CWODETH"=[1]OUT_SyntheticFuels!$C$4:$C$1000)*1,("Var_cap"=[1]OUT_SyntheticFuels!$B$4:$B$1000)*1,[1]OUT_SyntheticFuels!I$4:I$1000)</f>
        <v>1.1938415784149914E-5</v>
      </c>
      <c r="K2031" s="7" cm="1">
        <f t="array" ref="K2031">SUMPRODUCT(("CT_CWODETH"=[1]OUT_SyntheticFuels!$C$4:$C$1000)*1,("Var_cap"=[1]OUT_SyntheticFuels!$B$4:$B$1000)*1,[1]OUT_SyntheticFuels!J$4:J$1000)</f>
        <v>7.9666913378451895E-6</v>
      </c>
    </row>
    <row r="2032" spans="2:11" x14ac:dyDescent="0.35">
      <c r="B2032" s="5" t="str">
        <f t="shared" si="1349"/>
        <v>SPS1</v>
      </c>
      <c r="C2032" s="5" t="str">
        <f t="shared" si="1350"/>
        <v>CH</v>
      </c>
      <c r="D2032" t="s">
        <v>2169</v>
      </c>
      <c r="E2032" t="s">
        <v>2157</v>
      </c>
      <c r="F2032" s="7" cm="1">
        <f t="array" ref="F2032">SUMPRODUCT(("CT_CWODETHCCS"=[1]OUT_SyntheticFuels!$C$4:$C$1000)*1,("Var_cap"=[1]OUT_SyntheticFuels!$B$4:$B$1000)*1,[1]OUT_SyntheticFuels!E$4:E$1000)</f>
        <v>0</v>
      </c>
      <c r="G2032" s="7" cm="1">
        <f t="array" ref="G2032">SUMPRODUCT(("CT_CWODETHCCS"=[1]OUT_SyntheticFuels!$C$4:$C$1000)*1,("Var_cap"=[1]OUT_SyntheticFuels!$B$4:$B$1000)*1,[1]OUT_SyntheticFuels!F$4:F$1000)</f>
        <v>0</v>
      </c>
      <c r="H2032" s="7" cm="1">
        <f t="array" ref="H2032">SUMPRODUCT(("CT_CWODETHCCS"=[1]OUT_SyntheticFuels!$C$4:$C$1000)*1,("Var_cap"=[1]OUT_SyntheticFuels!$B$4:$B$1000)*1,[1]OUT_SyntheticFuels!G$4:G$1000)</f>
        <v>0</v>
      </c>
      <c r="I2032" s="7" cm="1">
        <f t="array" ref="I2032">SUMPRODUCT(("CT_CWODETHCCS"=[1]OUT_SyntheticFuels!$C$4:$C$1000)*1,("Var_cap"=[1]OUT_SyntheticFuels!$B$4:$B$1000)*1,[1]OUT_SyntheticFuels!H$4:H$1000)</f>
        <v>0</v>
      </c>
      <c r="J2032" s="7" cm="1">
        <f t="array" ref="J2032">SUMPRODUCT(("CT_CWODETHCCS"=[1]OUT_SyntheticFuels!$C$4:$C$1000)*1,("Var_cap"=[1]OUT_SyntheticFuels!$B$4:$B$1000)*1,[1]OUT_SyntheticFuels!I$4:I$1000)</f>
        <v>8.0799001483953599E-6</v>
      </c>
      <c r="K2032" s="7" cm="1">
        <f t="array" ref="K2032">SUMPRODUCT(("CT_CWODETHCCS"=[1]OUT_SyntheticFuels!$C$4:$C$1000)*1,("Var_cap"=[1]OUT_SyntheticFuels!$B$4:$B$1000)*1,[1]OUT_SyntheticFuels!J$4:J$1000)</f>
        <v>8.3699259445497305E-6</v>
      </c>
    </row>
    <row r="2033" spans="2:11" x14ac:dyDescent="0.35">
      <c r="B2033" s="5" t="str">
        <f t="shared" si="1349"/>
        <v>SPS1</v>
      </c>
      <c r="C2033" s="5" t="str">
        <f t="shared" si="1350"/>
        <v>CH</v>
      </c>
      <c r="D2033" t="s">
        <v>2162</v>
      </c>
      <c r="E2033" t="s">
        <v>2157</v>
      </c>
      <c r="F2033" s="7" cm="1">
        <f t="array" ref="F2033">SUMPRODUCT(("SUP_MNRBIO"=[1]OUT_SyntheticFuels!$C$4:$C$1000)*1,("Var_cap"=[1]OUT_SyntheticFuels!$B$4:$B$1000)*1,[1]OUT_SyntheticFuels!E$4:E$1000)</f>
        <v>4.9504257458365002E-2</v>
      </c>
      <c r="G2033" s="7" cm="1">
        <f t="array" ref="G2033">SUMPRODUCT(("SUP_MNRBIO"=[1]OUT_SyntheticFuels!$C$4:$C$1000)*1,("Var_cap"=[1]OUT_SyntheticFuels!$B$4:$B$1000)*1,[1]OUT_SyntheticFuels!F$4:F$1000)</f>
        <v>0.1317291468371117</v>
      </c>
      <c r="H2033" s="7" cm="1">
        <f t="array" ref="H2033">SUMPRODUCT(("SUP_MNRBIO"=[1]OUT_SyntheticFuels!$C$4:$C$1000)*1,("Var_cap"=[1]OUT_SyntheticFuels!$B$4:$B$1000)*1,[1]OUT_SyntheticFuels!G$4:G$1000)</f>
        <v>0.16239483635777197</v>
      </c>
      <c r="I2033" s="7" cm="1">
        <f t="array" ref="I2033">SUMPRODUCT(("SUP_MNRBIO"=[1]OUT_SyntheticFuels!$C$4:$C$1000)*1,("Var_cap"=[1]OUT_SyntheticFuels!$B$4:$B$1000)*1,[1]OUT_SyntheticFuels!H$4:H$1000)</f>
        <v>0.16239935543343964</v>
      </c>
      <c r="J2033" s="7" cm="1">
        <f t="array" ref="J2033">SUMPRODUCT(("SUP_MNRBIO"=[1]OUT_SyntheticFuels!$C$4:$C$1000)*1,("Var_cap"=[1]OUT_SyntheticFuels!$B$4:$B$1000)*1,[1]OUT_SyntheticFuels!I$4:I$1000)</f>
        <v>0.18947301682258577</v>
      </c>
      <c r="K2033" s="7" cm="1">
        <f t="array" ref="K2033">SUMPRODUCT(("SUP_MNRBIO"=[1]OUT_SyntheticFuels!$C$4:$C$1000)*1,("Var_cap"=[1]OUT_SyntheticFuels!$B$4:$B$1000)*1,[1]OUT_SyntheticFuels!J$4:J$1000)</f>
        <v>0.34728210565770035</v>
      </c>
    </row>
    <row r="2034" spans="2:11" x14ac:dyDescent="0.35">
      <c r="B2034" s="5" t="str">
        <f t="shared" si="1349"/>
        <v>SPS1</v>
      </c>
      <c r="C2034" s="5" t="str">
        <f t="shared" si="1350"/>
        <v>CH</v>
      </c>
      <c r="D2034" t="s">
        <v>2158</v>
      </c>
      <c r="E2034" t="s">
        <v>2157</v>
      </c>
      <c r="F2034" s="7" cm="1">
        <f t="array" ref="F2034">SUMPRODUCT(("SUP_WSTBIO"=[1]OUT_SyntheticFuels!$C$4:$C$1000)*1,("Var_cap"=[1]OUT_SyntheticFuels!$B$4:$B$1000)*1,[1]OUT_SyntheticFuels!E$4:E$1000)</f>
        <v>0.21266746144615847</v>
      </c>
      <c r="G2034" s="7" cm="1">
        <f t="array" ref="G2034">SUMPRODUCT(("SUP_WSTBIO"=[1]OUT_SyntheticFuels!$C$4:$C$1000)*1,("Var_cap"=[1]OUT_SyntheticFuels!$B$4:$B$1000)*1,[1]OUT_SyntheticFuels!F$4:F$1000)</f>
        <v>0.23566649160567693</v>
      </c>
      <c r="H2034" s="7" cm="1">
        <f t="array" ref="H2034">SUMPRODUCT(("SUP_WSTBIO"=[1]OUT_SyntheticFuels!$C$4:$C$1000)*1,("Var_cap"=[1]OUT_SyntheticFuels!$B$4:$B$1000)*1,[1]OUT_SyntheticFuels!G$4:G$1000)</f>
        <v>0.23566529350388274</v>
      </c>
      <c r="I2034" s="7" cm="1">
        <f t="array" ref="I2034">SUMPRODUCT(("SUP_WSTBIO"=[1]OUT_SyntheticFuels!$C$4:$C$1000)*1,("Var_cap"=[1]OUT_SyntheticFuels!$B$4:$B$1000)*1,[1]OUT_SyntheticFuels!H$4:H$1000)</f>
        <v>0.26146558870326625</v>
      </c>
      <c r="J2034" s="7" cm="1">
        <f t="array" ref="J2034">SUMPRODUCT(("SUP_WSTBIO"=[1]OUT_SyntheticFuels!$C$4:$C$1000)*1,("Var_cap"=[1]OUT_SyntheticFuels!$B$4:$B$1000)*1,[1]OUT_SyntheticFuels!I$4:I$1000)</f>
        <v>0.25492685113398772</v>
      </c>
      <c r="K2034" s="7" cm="1">
        <f t="array" ref="K2034">SUMPRODUCT(("SUP_WSTBIO"=[1]OUT_SyntheticFuels!$C$4:$C$1000)*1,("Var_cap"=[1]OUT_SyntheticFuels!$B$4:$B$1000)*1,[1]OUT_SyntheticFuels!J$4:J$1000)</f>
        <v>0.23729929793299859</v>
      </c>
    </row>
    <row r="2035" spans="2:11" x14ac:dyDescent="0.35">
      <c r="B2035" s="5" t="str">
        <f t="shared" si="1349"/>
        <v>SPS1</v>
      </c>
      <c r="C2035" s="5" t="str">
        <f t="shared" si="1350"/>
        <v>CH</v>
      </c>
      <c r="D2035" t="s">
        <v>2170</v>
      </c>
      <c r="E2035" t="s">
        <v>2157</v>
      </c>
      <c r="F2035" s="7" cm="1">
        <f t="array" ref="F2035">SUMPRODUCT(("SUP_WSTBIOCCS"=[1]OUT_SyntheticFuels!$C$4:$C$1000)*1,("Var_cap"=[1]OUT_SyntheticFuels!$B$4:$B$1000)*1,[1]OUT_SyntheticFuels!E$4:E$1000)</f>
        <v>0</v>
      </c>
      <c r="G2035" s="7" cm="1">
        <f t="array" ref="G2035">SUMPRODUCT(("SUP_WSTBIOCCS"=[1]OUT_SyntheticFuels!$C$4:$C$1000)*1,("Var_cap"=[1]OUT_SyntheticFuels!$B$4:$B$1000)*1,[1]OUT_SyntheticFuels!F$4:F$1000)</f>
        <v>0</v>
      </c>
      <c r="H2035" s="7" cm="1">
        <f t="array" ref="H2035">SUMPRODUCT(("SUP_WSTBIOCCS"=[1]OUT_SyntheticFuels!$C$4:$C$1000)*1,("Var_cap"=[1]OUT_SyntheticFuels!$B$4:$B$1000)*1,[1]OUT_SyntheticFuels!G$4:G$1000)</f>
        <v>0</v>
      </c>
      <c r="I2035" s="7" cm="1">
        <f t="array" ref="I2035">SUMPRODUCT(("SUP_WSTBIOCCS"=[1]OUT_SyntheticFuels!$C$4:$C$1000)*1,("Var_cap"=[1]OUT_SyntheticFuels!$B$4:$B$1000)*1,[1]OUT_SyntheticFuels!H$4:H$1000)</f>
        <v>0</v>
      </c>
      <c r="J2035" s="7" cm="1">
        <f t="array" ref="J2035">SUMPRODUCT(("SUP_WSTBIOCCS"=[1]OUT_SyntheticFuels!$C$4:$C$1000)*1,("Var_cap"=[1]OUT_SyntheticFuels!$B$4:$B$1000)*1,[1]OUT_SyntheticFuels!I$4:I$1000)</f>
        <v>0</v>
      </c>
      <c r="K2035" s="7" cm="1">
        <f t="array" ref="K2035">SUMPRODUCT(("SUP_WSTBIOCCS"=[1]OUT_SyntheticFuels!$C$4:$C$1000)*1,("Var_cap"=[1]OUT_SyntheticFuels!$B$4:$B$1000)*1,[1]OUT_SyntheticFuels!J$4:J$1000)</f>
        <v>0</v>
      </c>
    </row>
    <row r="2036" spans="2:11" x14ac:dyDescent="0.35">
      <c r="B2036" s="5" t="str">
        <f t="shared" si="1349"/>
        <v>SPS1</v>
      </c>
      <c r="C2036" s="5" t="str">
        <f t="shared" si="1350"/>
        <v>CH</v>
      </c>
      <c r="D2036" t="s">
        <v>2171</v>
      </c>
      <c r="E2036" t="s">
        <v>2157</v>
      </c>
      <c r="F2036" s="7" cm="1">
        <f t="array" ref="F2036">SUMPRODUCT(("SUP_WSTHTGBIO"=[1]OUT_SyntheticFuels!$C$4:$C$1000)*1,("Var_cap"=[1]OUT_SyntheticFuels!$B$4:$B$1000)*1,[1]OUT_SyntheticFuels!E$4:E$1000)</f>
        <v>0</v>
      </c>
      <c r="G2036" s="7" cm="1">
        <f t="array" ref="G2036">SUMPRODUCT(("SUP_WSTHTGBIO"=[1]OUT_SyntheticFuels!$C$4:$C$1000)*1,("Var_cap"=[1]OUT_SyntheticFuels!$B$4:$B$1000)*1,[1]OUT_SyntheticFuels!F$4:F$1000)</f>
        <v>0</v>
      </c>
      <c r="H2036" s="7" cm="1">
        <f t="array" ref="H2036">SUMPRODUCT(("SUP_WSTHTGBIO"=[1]OUT_SyntheticFuels!$C$4:$C$1000)*1,("Var_cap"=[1]OUT_SyntheticFuels!$B$4:$B$1000)*1,[1]OUT_SyntheticFuels!G$4:G$1000)</f>
        <v>0</v>
      </c>
      <c r="I2036" s="7" cm="1">
        <f t="array" ref="I2036">SUMPRODUCT(("SUP_WSTHTGBIO"=[1]OUT_SyntheticFuels!$C$4:$C$1000)*1,("Var_cap"=[1]OUT_SyntheticFuels!$B$4:$B$1000)*1,[1]OUT_SyntheticFuels!H$4:H$1000)</f>
        <v>0</v>
      </c>
      <c r="J2036" s="7" cm="1">
        <f t="array" ref="J2036">SUMPRODUCT(("SUP_WSTHTGBIO"=[1]OUT_SyntheticFuels!$C$4:$C$1000)*1,("Var_cap"=[1]OUT_SyntheticFuels!$B$4:$B$1000)*1,[1]OUT_SyntheticFuels!I$4:I$1000)</f>
        <v>1.03252742916419E-5</v>
      </c>
      <c r="K2036" s="7" cm="1">
        <f t="array" ref="K2036">SUMPRODUCT(("SUP_WSTHTGBIO"=[1]OUT_SyntheticFuels!$C$4:$C$1000)*1,("Var_cap"=[1]OUT_SyntheticFuels!$B$4:$B$1000)*1,[1]OUT_SyntheticFuels!J$4:J$1000)</f>
        <v>1.0391614901164135E-5</v>
      </c>
    </row>
    <row r="2037" spans="2:11" x14ac:dyDescent="0.35">
      <c r="B2037" s="5" t="str">
        <f t="shared" si="1349"/>
        <v>SPS1</v>
      </c>
      <c r="C2037" s="5" t="str">
        <f t="shared" si="1350"/>
        <v>CH</v>
      </c>
      <c r="D2037" t="s">
        <v>2172</v>
      </c>
      <c r="E2037" t="s">
        <v>2157</v>
      </c>
      <c r="F2037" s="7" cm="1">
        <f t="array" ref="F2037">SUMPRODUCT(("SUP_WSTHTGBIOCCS"=[1]OUT_SyntheticFuels!$C$4:$C$1000)*1,("Var_cap"=[1]OUT_SyntheticFuels!$B$4:$B$1000)*1,[1]OUT_SyntheticFuels!E$4:E$1000)</f>
        <v>0</v>
      </c>
      <c r="G2037" s="7" cm="1">
        <f t="array" ref="G2037">SUMPRODUCT(("SUP_WSTHTGBIOCCS"=[1]OUT_SyntheticFuels!$C$4:$C$1000)*1,("Var_cap"=[1]OUT_SyntheticFuels!$B$4:$B$1000)*1,[1]OUT_SyntheticFuels!F$4:F$1000)</f>
        <v>0</v>
      </c>
      <c r="H2037" s="7" cm="1">
        <f t="array" ref="H2037">SUMPRODUCT(("SUP_WSTHTGBIOCCS"=[1]OUT_SyntheticFuels!$C$4:$C$1000)*1,("Var_cap"=[1]OUT_SyntheticFuels!$B$4:$B$1000)*1,[1]OUT_SyntheticFuels!G$4:G$1000)</f>
        <v>0</v>
      </c>
      <c r="I2037" s="7" cm="1">
        <f t="array" ref="I2037">SUMPRODUCT(("SUP_WSTHTGBIOCCS"=[1]OUT_SyntheticFuels!$C$4:$C$1000)*1,("Var_cap"=[1]OUT_SyntheticFuels!$B$4:$B$1000)*1,[1]OUT_SyntheticFuels!H$4:H$1000)</f>
        <v>0</v>
      </c>
      <c r="J2037" s="7" cm="1">
        <f t="array" ref="J2037">SUMPRODUCT(("SUP_WSTHTGBIOCCS"=[1]OUT_SyntheticFuels!$C$4:$C$1000)*1,("Var_cap"=[1]OUT_SyntheticFuels!$B$4:$B$1000)*1,[1]OUT_SyntheticFuels!I$4:I$1000)</f>
        <v>3.8541942371517701E-6</v>
      </c>
      <c r="K2037" s="7" cm="1">
        <f t="array" ref="K2037">SUMPRODUCT(("SUP_WSTHTGBIOCCS"=[1]OUT_SyntheticFuels!$C$4:$C$1000)*1,("Var_cap"=[1]OUT_SyntheticFuels!$B$4:$B$1000)*1,[1]OUT_SyntheticFuels!J$4:J$1000)</f>
        <v>3.9393728225856553E-6</v>
      </c>
    </row>
    <row r="2038" spans="2:11" x14ac:dyDescent="0.35">
      <c r="B2038" s="5" t="str">
        <f t="shared" si="1349"/>
        <v>SPS1</v>
      </c>
      <c r="C2038" s="5" t="str">
        <f t="shared" si="1350"/>
        <v>CH</v>
      </c>
      <c r="D2038" t="s">
        <v>2173</v>
      </c>
      <c r="E2038" t="s">
        <v>2157</v>
      </c>
      <c r="F2038" s="7" cm="1">
        <f t="array" ref="F2038">SUMPRODUCT(("SUP_WODBIO"=[1]OUT_SyntheticFuels!$C$4:$C$1000)*1,("Var_cap"=[1]OUT_SyntheticFuels!$B$4:$B$1000)*1,[1]OUT_SyntheticFuels!E$4:E$1000)</f>
        <v>3.6102657523169799E-7</v>
      </c>
      <c r="G2038" s="7" cm="1">
        <f t="array" ref="G2038">SUMPRODUCT(("SUP_WODBIO"=[1]OUT_SyntheticFuels!$C$4:$C$1000)*1,("Var_cap"=[1]OUT_SyntheticFuels!$B$4:$B$1000)*1,[1]OUT_SyntheticFuels!F$4:F$1000)</f>
        <v>1.4618062188397367E-5</v>
      </c>
      <c r="H2038" s="7" cm="1">
        <f t="array" ref="H2038">SUMPRODUCT(("SUP_WODBIO"=[1]OUT_SyntheticFuels!$C$4:$C$1000)*1,("Var_cap"=[1]OUT_SyntheticFuels!$B$4:$B$1000)*1,[1]OUT_SyntheticFuels!G$4:G$1000)</f>
        <v>1.5409243785232572E-5</v>
      </c>
      <c r="I2038" s="7" cm="1">
        <f t="array" ref="I2038">SUMPRODUCT(("SUP_WODBIO"=[1]OUT_SyntheticFuels!$C$4:$C$1000)*1,("Var_cap"=[1]OUT_SyntheticFuels!$B$4:$B$1000)*1,[1]OUT_SyntheticFuels!H$4:H$1000)</f>
        <v>1.5784018314784022E-5</v>
      </c>
      <c r="J2038" s="7" cm="1">
        <f t="array" ref="J2038">SUMPRODUCT(("SUP_WODBIO"=[1]OUT_SyntheticFuels!$C$4:$C$1000)*1,("Var_cap"=[1]OUT_SyntheticFuels!$B$4:$B$1000)*1,[1]OUT_SyntheticFuels!I$4:I$1000)</f>
        <v>1.8341033076190386E-5</v>
      </c>
      <c r="K2038" s="7" cm="1">
        <f t="array" ref="K2038">SUMPRODUCT(("SUP_WODBIO"=[1]OUT_SyntheticFuels!$C$4:$C$1000)*1,("Var_cap"=[1]OUT_SyntheticFuels!$B$4:$B$1000)*1,[1]OUT_SyntheticFuels!J$4:J$1000)</f>
        <v>1.1676855158490913E-5</v>
      </c>
    </row>
    <row r="2039" spans="2:11" x14ac:dyDescent="0.35">
      <c r="B2039" s="5" t="str">
        <f t="shared" si="1349"/>
        <v>SPS1</v>
      </c>
      <c r="C2039" s="5" t="str">
        <f t="shared" si="1350"/>
        <v>CH</v>
      </c>
      <c r="D2039" t="s">
        <v>2174</v>
      </c>
      <c r="E2039" t="s">
        <v>2157</v>
      </c>
      <c r="F2039" s="7" cm="1">
        <f t="array" ref="F2039">SUMPRODUCT(("SUP_WODBIOCCS"=[1]OUT_SyntheticFuels!$C$4:$C$1000)*1,("Var_cap"=[1]OUT_SyntheticFuels!$B$4:$B$1000)*1,[1]OUT_SyntheticFuels!E$4:E$1000)</f>
        <v>0</v>
      </c>
      <c r="G2039" s="7" cm="1">
        <f t="array" ref="G2039">SUMPRODUCT(("SUP_WODBIOCCS"=[1]OUT_SyntheticFuels!$C$4:$C$1000)*1,("Var_cap"=[1]OUT_SyntheticFuels!$B$4:$B$1000)*1,[1]OUT_SyntheticFuels!F$4:F$1000)</f>
        <v>0</v>
      </c>
      <c r="H2039" s="7" cm="1">
        <f t="array" ref="H2039">SUMPRODUCT(("SUP_WODBIOCCS"=[1]OUT_SyntheticFuels!$C$4:$C$1000)*1,("Var_cap"=[1]OUT_SyntheticFuels!$B$4:$B$1000)*1,[1]OUT_SyntheticFuels!G$4:G$1000)</f>
        <v>0</v>
      </c>
      <c r="I2039" s="7" cm="1">
        <f t="array" ref="I2039">SUMPRODUCT(("SUP_WODBIOCCS"=[1]OUT_SyntheticFuels!$C$4:$C$1000)*1,("Var_cap"=[1]OUT_SyntheticFuels!$B$4:$B$1000)*1,[1]OUT_SyntheticFuels!H$4:H$1000)</f>
        <v>0</v>
      </c>
      <c r="J2039" s="7" cm="1">
        <f t="array" ref="J2039">SUMPRODUCT(("SUP_WODBIOCCS"=[1]OUT_SyntheticFuels!$C$4:$C$1000)*1,("Var_cap"=[1]OUT_SyntheticFuels!$B$4:$B$1000)*1,[1]OUT_SyntheticFuels!I$4:I$1000)</f>
        <v>1.11201832248765E-5</v>
      </c>
      <c r="K2039" s="7" cm="1">
        <f t="array" ref="K2039">SUMPRODUCT(("SUP_WODBIOCCS"=[1]OUT_SyntheticFuels!$C$4:$C$1000)*1,("Var_cap"=[1]OUT_SyntheticFuels!$B$4:$B$1000)*1,[1]OUT_SyntheticFuels!J$4:J$1000)</f>
        <v>1.12345454323393E-5</v>
      </c>
    </row>
    <row r="2040" spans="2:11" x14ac:dyDescent="0.35">
      <c r="B2040" s="5" t="str">
        <f t="shared" si="1349"/>
        <v>SPS1</v>
      </c>
      <c r="C2040" s="5" t="str">
        <f t="shared" si="1350"/>
        <v>CH</v>
      </c>
      <c r="D2040" t="s">
        <v>2175</v>
      </c>
      <c r="E2040" t="s">
        <v>2157</v>
      </c>
      <c r="F2040" s="7" cm="1">
        <f t="array" ref="F2040">SUMPRODUCT(("SUP_BIONGA"=[1]OUT_SyntheticFuels!$C$4:$C$1000)*1,("Var_cap"=[1]OUT_SyntheticFuels!$B$4:$B$1000)*1,[1]OUT_SyntheticFuels!E$4:E$1000)</f>
        <v>4.2363830600574373E-2</v>
      </c>
      <c r="G2040" s="7" cm="1">
        <f t="array" ref="G2040">SUMPRODUCT(("SUP_BIONGA"=[1]OUT_SyntheticFuels!$C$4:$C$1000)*1,("Var_cap"=[1]OUT_SyntheticFuels!$B$4:$B$1000)*1,[1]OUT_SyntheticFuels!F$4:F$1000)</f>
        <v>0.11906400589818657</v>
      </c>
      <c r="H2040" s="7" cm="1">
        <f t="array" ref="H2040">SUMPRODUCT(("SUP_BIONGA"=[1]OUT_SyntheticFuels!$C$4:$C$1000)*1,("Var_cap"=[1]OUT_SyntheticFuels!$B$4:$B$1000)*1,[1]OUT_SyntheticFuels!G$4:G$1000)</f>
        <v>9.47196515148927E-2</v>
      </c>
      <c r="I2040" s="7" cm="1">
        <f t="array" ref="I2040">SUMPRODUCT(("SUP_BIONGA"=[1]OUT_SyntheticFuels!$C$4:$C$1000)*1,("Var_cap"=[1]OUT_SyntheticFuels!$B$4:$B$1000)*1,[1]OUT_SyntheticFuels!H$4:H$1000)</f>
        <v>9.4706553516012898E-2</v>
      </c>
      <c r="J2040" s="7" cm="1">
        <f t="array" ref="J2040">SUMPRODUCT(("SUP_BIONGA"=[1]OUT_SyntheticFuels!$C$4:$C$1000)*1,("Var_cap"=[1]OUT_SyntheticFuels!$B$4:$B$1000)*1,[1]OUT_SyntheticFuels!I$4:I$1000)</f>
        <v>9.2015008697393971E-2</v>
      </c>
      <c r="K2040" s="7" cm="1">
        <f t="array" ref="K2040">SUMPRODUCT(("SUP_BIONGA"=[1]OUT_SyntheticFuels!$C$4:$C$1000)*1,("Var_cap"=[1]OUT_SyntheticFuels!$B$4:$B$1000)*1,[1]OUT_SyntheticFuels!J$4:J$1000)</f>
        <v>0.1038767084304415</v>
      </c>
    </row>
    <row r="2041" spans="2:11" x14ac:dyDescent="0.35">
      <c r="B2041" s="5" t="str">
        <f t="shared" si="1349"/>
        <v>SPS1</v>
      </c>
      <c r="C2041" s="5" t="str">
        <f t="shared" si="1350"/>
        <v>CH</v>
      </c>
      <c r="D2041" t="s">
        <v>2176</v>
      </c>
      <c r="E2041" t="s">
        <v>2157</v>
      </c>
      <c r="F2041" s="7" cm="1">
        <f t="array" ref="F2041">SUMPRODUCT(("CT_CWODPLT"=[1]OUT_SyntheticFuels!$C$4:$C$1000)*1,("Var_cap"=[1]OUT_SyntheticFuels!$B$4:$B$1000)*1,[1]OUT_SyntheticFuels!E$4:E$1000)</f>
        <v>0.35515232468902103</v>
      </c>
      <c r="G2041" s="7" cm="1">
        <f t="array" ref="G2041">SUMPRODUCT(("CT_CWODPLT"=[1]OUT_SyntheticFuels!$C$4:$C$1000)*1,("Var_cap"=[1]OUT_SyntheticFuels!$B$4:$B$1000)*1,[1]OUT_SyntheticFuels!F$4:F$1000)</f>
        <v>0.41003182564816459</v>
      </c>
      <c r="H2041" s="7" cm="1">
        <f t="array" ref="H2041">SUMPRODUCT(("CT_CWODPLT"=[1]OUT_SyntheticFuels!$C$4:$C$1000)*1,("Var_cap"=[1]OUT_SyntheticFuels!$B$4:$B$1000)*1,[1]OUT_SyntheticFuels!G$4:G$1000)</f>
        <v>0.28183342233825698</v>
      </c>
      <c r="I2041" s="7" cm="1">
        <f t="array" ref="I2041">SUMPRODUCT(("CT_CWODPLT"=[1]OUT_SyntheticFuels!$C$4:$C$1000)*1,("Var_cap"=[1]OUT_SyntheticFuels!$B$4:$B$1000)*1,[1]OUT_SyntheticFuels!H$4:H$1000)</f>
        <v>0.28183052733009095</v>
      </c>
      <c r="J2041" s="7" cm="1">
        <f t="array" ref="J2041">SUMPRODUCT(("CT_CWODPLT"=[1]OUT_SyntheticFuels!$C$4:$C$1000)*1,("Var_cap"=[1]OUT_SyntheticFuels!$B$4:$B$1000)*1,[1]OUT_SyntheticFuels!I$4:I$1000)</f>
        <v>0.30789309184355956</v>
      </c>
      <c r="K2041" s="7" cm="1">
        <f t="array" ref="K2041">SUMPRODUCT(("CT_CWODPLT"=[1]OUT_SyntheticFuels!$C$4:$C$1000)*1,("Var_cap"=[1]OUT_SyntheticFuels!$B$4:$B$1000)*1,[1]OUT_SyntheticFuels!J$4:J$1000)</f>
        <v>0.28814992452504767</v>
      </c>
    </row>
    <row r="2042" spans="2:11" x14ac:dyDescent="0.35">
      <c r="B2042" s="5" t="str">
        <f t="shared" si="1349"/>
        <v>SPS1</v>
      </c>
      <c r="C2042" s="5" t="str">
        <f t="shared" si="1350"/>
        <v>CH</v>
      </c>
      <c r="D2042" t="s">
        <v>2177</v>
      </c>
      <c r="E2042" t="s">
        <v>2157</v>
      </c>
      <c r="F2042" s="7" cm="1">
        <f t="array" ref="F2042">SUMPRODUCT(("SUP_H2NGA"=[1]OUT_SyntheticFuels!$C$4:$C$1000)*1,("Var_cap"=[1]OUT_SyntheticFuels!$B$4:$B$1000)*1,[1]OUT_SyntheticFuels!E$4:E$1000)</f>
        <v>0</v>
      </c>
      <c r="G2042" s="7" cm="1">
        <f t="array" ref="G2042">SUMPRODUCT(("SUP_H2NGA"=[1]OUT_SyntheticFuels!$C$4:$C$1000)*1,("Var_cap"=[1]OUT_SyntheticFuels!$B$4:$B$1000)*1,[1]OUT_SyntheticFuels!F$4:F$1000)</f>
        <v>0</v>
      </c>
      <c r="H2042" s="7" cm="1">
        <f t="array" ref="H2042">SUMPRODUCT(("SUP_H2NGA"=[1]OUT_SyntheticFuels!$C$4:$C$1000)*1,("Var_cap"=[1]OUT_SyntheticFuels!$B$4:$B$1000)*1,[1]OUT_SyntheticFuels!G$4:G$1000)</f>
        <v>0</v>
      </c>
      <c r="I2042" s="7" cm="1">
        <f t="array" ref="I2042">SUMPRODUCT(("SUP_H2NGA"=[1]OUT_SyntheticFuels!$C$4:$C$1000)*1,("Var_cap"=[1]OUT_SyntheticFuels!$B$4:$B$1000)*1,[1]OUT_SyntheticFuels!H$4:H$1000)</f>
        <v>3.20044689771081E-7</v>
      </c>
      <c r="J2042" s="7" cm="1">
        <f t="array" ref="J2042">SUMPRODUCT(("SUP_H2NGA"=[1]OUT_SyntheticFuels!$C$4:$C$1000)*1,("Var_cap"=[1]OUT_SyntheticFuels!$B$4:$B$1000)*1,[1]OUT_SyntheticFuels!I$4:I$1000)</f>
        <v>6.76746433995234E-5</v>
      </c>
      <c r="K2042" s="7" cm="1">
        <f t="array" ref="K2042">SUMPRODUCT(("SUP_H2NGA"=[1]OUT_SyntheticFuels!$C$4:$C$1000)*1,("Var_cap"=[1]OUT_SyntheticFuels!$B$4:$B$1000)*1,[1]OUT_SyntheticFuels!J$4:J$1000)</f>
        <v>6.7235544050281093E-5</v>
      </c>
    </row>
    <row r="2043" spans="2:11" x14ac:dyDescent="0.35">
      <c r="B2043" s="5" t="str">
        <f t="shared" si="1349"/>
        <v>SPS1</v>
      </c>
      <c r="C2043" s="5" t="str">
        <f t="shared" si="1350"/>
        <v>CH</v>
      </c>
      <c r="D2043" t="s">
        <v>2178</v>
      </c>
      <c r="E2043" t="s">
        <v>2157</v>
      </c>
      <c r="F2043" s="7" cm="1">
        <f t="array" ref="F2043">SUMPRODUCT(("SUP_H2DSL"=[1]OUT_SyntheticFuels!$C$4:$C$1000)*1,("Var_cap"=[1]OUT_SyntheticFuels!$B$4:$B$1000)*1,[1]OUT_SyntheticFuels!E$4:E$1000)</f>
        <v>0</v>
      </c>
      <c r="G2043" s="7" cm="1">
        <f t="array" ref="G2043">SUMPRODUCT(("SUP_H2DSL"=[1]OUT_SyntheticFuels!$C$4:$C$1000)*1,("Var_cap"=[1]OUT_SyntheticFuels!$B$4:$B$1000)*1,[1]OUT_SyntheticFuels!F$4:F$1000)</f>
        <v>0</v>
      </c>
      <c r="H2043" s="7" cm="1">
        <f t="array" ref="H2043">SUMPRODUCT(("SUP_H2DSL"=[1]OUT_SyntheticFuels!$C$4:$C$1000)*1,("Var_cap"=[1]OUT_SyntheticFuels!$B$4:$B$1000)*1,[1]OUT_SyntheticFuels!G$4:G$1000)</f>
        <v>0</v>
      </c>
      <c r="I2043" s="7" cm="1">
        <f t="array" ref="I2043">SUMPRODUCT(("SUP_H2DSL"=[1]OUT_SyntheticFuels!$C$4:$C$1000)*1,("Var_cap"=[1]OUT_SyntheticFuels!$B$4:$B$1000)*1,[1]OUT_SyntheticFuels!H$4:H$1000)</f>
        <v>5.6948182636423597E-7</v>
      </c>
      <c r="J2043" s="7" cm="1">
        <f t="array" ref="J2043">SUMPRODUCT(("SUP_H2DSL"=[1]OUT_SyntheticFuels!$C$4:$C$1000)*1,("Var_cap"=[1]OUT_SyntheticFuels!$B$4:$B$1000)*1,[1]OUT_SyntheticFuels!I$4:I$1000)</f>
        <v>0.11530178056886516</v>
      </c>
      <c r="K2043" s="7" cm="1">
        <f t="array" ref="K2043">SUMPRODUCT(("SUP_H2DSL"=[1]OUT_SyntheticFuels!$C$4:$C$1000)*1,("Var_cap"=[1]OUT_SyntheticFuels!$B$4:$B$1000)*1,[1]OUT_SyntheticFuels!J$4:J$1000)</f>
        <v>7.2466788376539942E-3</v>
      </c>
    </row>
    <row r="2044" spans="2:11" x14ac:dyDescent="0.35">
      <c r="B2044" s="5" t="str">
        <f t="shared" si="1349"/>
        <v>SPS1</v>
      </c>
      <c r="C2044" s="5" t="str">
        <f t="shared" si="1350"/>
        <v>CH</v>
      </c>
      <c r="D2044" t="s">
        <v>2161</v>
      </c>
      <c r="E2044" t="s">
        <v>2157</v>
      </c>
      <c r="F2044" s="7" cm="1">
        <f t="array" ref="F2044">SUMPRODUCT(("SUP_H2GSL"=[1]OUT_SyntheticFuels!$C$4:$C$1000)*1,("Var_cap"=[1]OUT_SyntheticFuels!$B$4:$B$1000)*1,[1]OUT_SyntheticFuels!E$4:E$1000)</f>
        <v>0</v>
      </c>
      <c r="G2044" s="7" cm="1">
        <f t="array" ref="G2044">SUMPRODUCT(("SUP_H2GSL"=[1]OUT_SyntheticFuels!$C$4:$C$1000)*1,("Var_cap"=[1]OUT_SyntheticFuels!$B$4:$B$1000)*1,[1]OUT_SyntheticFuels!F$4:F$1000)</f>
        <v>0</v>
      </c>
      <c r="H2044" s="7" cm="1">
        <f t="array" ref="H2044">SUMPRODUCT(("SUP_H2GSL"=[1]OUT_SyntheticFuels!$C$4:$C$1000)*1,("Var_cap"=[1]OUT_SyntheticFuels!$B$4:$B$1000)*1,[1]OUT_SyntheticFuels!G$4:G$1000)</f>
        <v>0</v>
      </c>
      <c r="I2044" s="7" cm="1">
        <f t="array" ref="I2044">SUMPRODUCT(("SUP_H2GSL"=[1]OUT_SyntheticFuels!$C$4:$C$1000)*1,("Var_cap"=[1]OUT_SyntheticFuels!$B$4:$B$1000)*1,[1]OUT_SyntheticFuels!H$4:H$1000)</f>
        <v>8.9729149856117504E-7</v>
      </c>
      <c r="J2044" s="7" cm="1">
        <f t="array" ref="J2044">SUMPRODUCT(("SUP_H2GSL"=[1]OUT_SyntheticFuels!$C$4:$C$1000)*1,("Var_cap"=[1]OUT_SyntheticFuels!$B$4:$B$1000)*1,[1]OUT_SyntheticFuels!I$4:I$1000)</f>
        <v>1.1273255688795794E-2</v>
      </c>
      <c r="K2044" s="7" cm="1">
        <f t="array" ref="K2044">SUMPRODUCT(("SUP_H2GSL"=[1]OUT_SyntheticFuels!$C$4:$C$1000)*1,("Var_cap"=[1]OUT_SyntheticFuels!$B$4:$B$1000)*1,[1]OUT_SyntheticFuels!J$4:J$1000)</f>
        <v>1.1270005640491241E-2</v>
      </c>
    </row>
    <row r="2045" spans="2:11" x14ac:dyDescent="0.35">
      <c r="B2045" s="9" t="str">
        <f>B2044</f>
        <v>SPS1</v>
      </c>
      <c r="C2045" s="2" t="str">
        <f>C2044</f>
        <v>CH</v>
      </c>
      <c r="D2045" s="2" t="s">
        <v>2179</v>
      </c>
      <c r="E2045" s="2" t="s">
        <v>1858</v>
      </c>
      <c r="F2045" s="3">
        <f t="shared" ref="F2045:K2045" si="1351">SUM(F2046,F2048,F2052,F2056,F2072,F2079,F2087,F2089,F2097,F2101,F2095)</f>
        <v>2.1615816349978526E-3</v>
      </c>
      <c r="G2045" s="3">
        <f t="shared" si="1351"/>
        <v>0.11849811064588051</v>
      </c>
      <c r="H2045" s="3">
        <f t="shared" si="1351"/>
        <v>4.8888613449911853</v>
      </c>
      <c r="I2045" s="3">
        <f t="shared" si="1351"/>
        <v>1.9549731227637723</v>
      </c>
      <c r="J2045" s="3">
        <f t="shared" si="1351"/>
        <v>10.982518623363509</v>
      </c>
      <c r="K2045" s="3">
        <f t="shared" si="1351"/>
        <v>27.886337489194904</v>
      </c>
    </row>
    <row r="2046" spans="2:11" x14ac:dyDescent="0.35">
      <c r="B2046" s="5" t="str">
        <f>B2045</f>
        <v>SPS1</v>
      </c>
      <c r="C2046" s="5" t="str">
        <f t="shared" ref="C2046:C2108" si="1352">C2045</f>
        <v>CH</v>
      </c>
      <c r="D2046" t="s">
        <v>2181</v>
      </c>
      <c r="E2046" t="str">
        <f t="shared" ref="E2046:E2077" si="1353">E2045</f>
        <v>GWe/yr.</v>
      </c>
      <c r="F2046" s="1">
        <f t="shared" ref="F2046:K2046" si="1354">+F2047</f>
        <v>0</v>
      </c>
      <c r="G2046" s="1">
        <f t="shared" si="1354"/>
        <v>0</v>
      </c>
      <c r="H2046" s="1">
        <f t="shared" si="1354"/>
        <v>0</v>
      </c>
      <c r="I2046" s="1">
        <f t="shared" si="1354"/>
        <v>0</v>
      </c>
      <c r="J2046" s="1">
        <f t="shared" si="1354"/>
        <v>0</v>
      </c>
      <c r="K2046" s="1">
        <f t="shared" si="1354"/>
        <v>0</v>
      </c>
    </row>
    <row r="2047" spans="2:11" x14ac:dyDescent="0.35">
      <c r="B2047" s="5" t="str">
        <f t="shared" ref="B2047:B2108" si="1355">B2046</f>
        <v>SPS1</v>
      </c>
      <c r="C2047" s="5" t="str">
        <f t="shared" si="1352"/>
        <v>CH</v>
      </c>
      <c r="D2047" t="s">
        <v>2182</v>
      </c>
      <c r="E2047" t="str">
        <f t="shared" si="1353"/>
        <v>GWe/yr.</v>
      </c>
      <c r="F2047" s="1">
        <f>'[1]Electricity and CHPs_NCAP'!B$14</f>
        <v>0</v>
      </c>
      <c r="G2047" s="1">
        <f>'[1]Electricity and CHPs_NCAP'!C$14</f>
        <v>0</v>
      </c>
      <c r="H2047" s="1">
        <f>'[1]Electricity and CHPs_NCAP'!D$14</f>
        <v>0</v>
      </c>
      <c r="I2047" s="1">
        <f>'[1]Electricity and CHPs_NCAP'!E$14</f>
        <v>0</v>
      </c>
      <c r="J2047" s="1">
        <f>'[1]Electricity and CHPs_NCAP'!F$14</f>
        <v>0</v>
      </c>
      <c r="K2047" s="1">
        <f>'[1]Electricity and CHPs_NCAP'!G$14</f>
        <v>0</v>
      </c>
    </row>
    <row r="2048" spans="2:11" x14ac:dyDescent="0.35">
      <c r="B2048" s="5" t="str">
        <f t="shared" si="1355"/>
        <v>SPS1</v>
      </c>
      <c r="C2048" s="5" t="str">
        <f t="shared" si="1352"/>
        <v>CH</v>
      </c>
      <c r="D2048" t="s">
        <v>2183</v>
      </c>
      <c r="E2048" t="str">
        <f t="shared" si="1353"/>
        <v>GWe/yr.</v>
      </c>
      <c r="F2048" s="1">
        <f t="shared" ref="F2048:K2048" si="1356">SUM(F2049:F2051)</f>
        <v>0</v>
      </c>
      <c r="G2048" s="1">
        <f t="shared" si="1356"/>
        <v>1.4213978568991743E-3</v>
      </c>
      <c r="H2048" s="1">
        <f t="shared" si="1356"/>
        <v>5.5470552099188344E-3</v>
      </c>
      <c r="I2048" s="1">
        <f t="shared" si="1356"/>
        <v>0.27977568315936063</v>
      </c>
      <c r="J2048" s="1">
        <f t="shared" si="1356"/>
        <v>5.3531452613375032E-2</v>
      </c>
      <c r="K2048" s="1">
        <f t="shared" si="1356"/>
        <v>0.17457198692878331</v>
      </c>
    </row>
    <row r="2049" spans="2:11" x14ac:dyDescent="0.35">
      <c r="B2049" s="5" t="str">
        <f t="shared" si="1355"/>
        <v>SPS1</v>
      </c>
      <c r="C2049" s="5" t="str">
        <f t="shared" si="1352"/>
        <v>CH</v>
      </c>
      <c r="D2049" t="s">
        <v>2184</v>
      </c>
      <c r="E2049" t="str">
        <f t="shared" si="1353"/>
        <v>GWe/yr.</v>
      </c>
      <c r="F2049" s="1">
        <f>'[1]Electricity and CHPs_NCAP'!B$15</f>
        <v>0</v>
      </c>
      <c r="G2049" s="1">
        <f>'[1]Electricity and CHPs_NCAP'!C$15</f>
        <v>1.0558199101539131E-3</v>
      </c>
      <c r="H2049" s="1">
        <f>'[1]Electricity and CHPs_NCAP'!D$15</f>
        <v>3.2459080326370966E-3</v>
      </c>
      <c r="I2049" s="1">
        <f>'[1]Electricity and CHPs_NCAP'!E$15</f>
        <v>0.27967791437409928</v>
      </c>
      <c r="J2049" s="1">
        <f>'[1]Electricity and CHPs_NCAP'!F$15</f>
        <v>5.3530669753772964E-2</v>
      </c>
      <c r="K2049" s="1">
        <f>'[1]Electricity and CHPs_NCAP'!G$15</f>
        <v>0.17457117478001458</v>
      </c>
    </row>
    <row r="2050" spans="2:11" x14ac:dyDescent="0.35">
      <c r="B2050" s="5" t="str">
        <f t="shared" si="1355"/>
        <v>SPS1</v>
      </c>
      <c r="C2050" s="5" t="str">
        <f t="shared" si="1352"/>
        <v>CH</v>
      </c>
      <c r="D2050" t="s">
        <v>2185</v>
      </c>
      <c r="E2050" t="str">
        <f t="shared" si="1353"/>
        <v>GWe/yr.</v>
      </c>
      <c r="F2050" s="1">
        <f>'[1]Electricity and CHPs_NCAP'!B$16</f>
        <v>0</v>
      </c>
      <c r="G2050" s="1">
        <f>'[1]Electricity and CHPs_NCAP'!C$16</f>
        <v>2.499951400726961E-4</v>
      </c>
      <c r="H2050" s="1">
        <f>'[1]Electricity and CHPs_NCAP'!D$16</f>
        <v>2.3010904884815594E-3</v>
      </c>
      <c r="I2050" s="1">
        <f>'[1]Electricity and CHPs_NCAP'!E$16</f>
        <v>9.7702715072065031E-5</v>
      </c>
      <c r="J2050" s="1">
        <f>'[1]Electricity and CHPs_NCAP'!F$16</f>
        <v>6.8225889332478449E-7</v>
      </c>
      <c r="K2050" s="1">
        <f>'[1]Electricity and CHPs_NCAP'!G$16</f>
        <v>4.8688374378576467E-7</v>
      </c>
    </row>
    <row r="2051" spans="2:11" x14ac:dyDescent="0.35">
      <c r="B2051" s="5" t="str">
        <f t="shared" si="1355"/>
        <v>SPS1</v>
      </c>
      <c r="C2051" s="5" t="str">
        <f t="shared" si="1352"/>
        <v>CH</v>
      </c>
      <c r="D2051" t="s">
        <v>2186</v>
      </c>
      <c r="E2051" t="str">
        <f t="shared" si="1353"/>
        <v>GWe/yr.</v>
      </c>
      <c r="F2051" s="1">
        <f>'[1]Electricity and CHPs_NCAP'!B$17</f>
        <v>0</v>
      </c>
      <c r="G2051" s="1">
        <f>'[1]Electricity and CHPs_NCAP'!C$17</f>
        <v>1.15582806672565E-4</v>
      </c>
      <c r="H2051" s="1">
        <f>'[1]Electricity and CHPs_NCAP'!D$17</f>
        <v>5.6688800178598202E-8</v>
      </c>
      <c r="I2051" s="1">
        <f>'[1]Electricity and CHPs_NCAP'!E$17</f>
        <v>6.6070189239512098E-8</v>
      </c>
      <c r="J2051" s="1">
        <f>'[1]Electricity and CHPs_NCAP'!F$17</f>
        <v>1.00600708744463E-7</v>
      </c>
      <c r="K2051" s="1">
        <f>'[1]Electricity and CHPs_NCAP'!G$17</f>
        <v>3.2526502494666202E-7</v>
      </c>
    </row>
    <row r="2052" spans="2:11" x14ac:dyDescent="0.35">
      <c r="B2052" s="5" t="str">
        <f t="shared" si="1355"/>
        <v>SPS1</v>
      </c>
      <c r="C2052" s="5" t="str">
        <f t="shared" si="1352"/>
        <v>CH</v>
      </c>
      <c r="D2052" t="s">
        <v>2187</v>
      </c>
      <c r="E2052" t="str">
        <f t="shared" si="1353"/>
        <v>GWe/yr.</v>
      </c>
      <c r="F2052" s="1">
        <f t="shared" ref="F2052:K2052" si="1357">SUM(F2053:F2055)</f>
        <v>0</v>
      </c>
      <c r="G2052" s="1">
        <f t="shared" si="1357"/>
        <v>2.2237707983899575E-2</v>
      </c>
      <c r="H2052" s="1">
        <f t="shared" si="1357"/>
        <v>4.1863607873609361E-3</v>
      </c>
      <c r="I2052" s="1">
        <f t="shared" si="1357"/>
        <v>2.0949426089739397E-2</v>
      </c>
      <c r="J2052" s="1">
        <f t="shared" si="1357"/>
        <v>2.9606019144524271E-5</v>
      </c>
      <c r="K2052" s="1">
        <f t="shared" si="1357"/>
        <v>1.6789935884716249E-5</v>
      </c>
    </row>
    <row r="2053" spans="2:11" x14ac:dyDescent="0.35">
      <c r="B2053" s="5" t="str">
        <f t="shared" si="1355"/>
        <v>SPS1</v>
      </c>
      <c r="C2053" s="5" t="str">
        <f t="shared" si="1352"/>
        <v>CH</v>
      </c>
      <c r="D2053" t="s">
        <v>2188</v>
      </c>
      <c r="E2053" t="str">
        <f t="shared" si="1353"/>
        <v>GWe/yr.</v>
      </c>
      <c r="F2053" s="1">
        <f>'[1]Electricity and CHPs_NCAP'!B$18</f>
        <v>0</v>
      </c>
      <c r="G2053" s="1">
        <f>'[1]Electricity and CHPs_NCAP'!C$18</f>
        <v>3.5336098301416199E-6</v>
      </c>
      <c r="H2053" s="1">
        <f>'[1]Electricity and CHPs_NCAP'!D$18</f>
        <v>4.1853295757434102E-3</v>
      </c>
      <c r="I2053" s="1">
        <f>'[1]Electricity and CHPs_NCAP'!E$18</f>
        <v>2.09481532422672E-2</v>
      </c>
      <c r="J2053" s="1">
        <f>'[1]Electricity and CHPs_NCAP'!F$18</f>
        <v>1.42728957183407E-6</v>
      </c>
      <c r="K2053" s="1">
        <f>'[1]Electricity and CHPs_NCAP'!G$18</f>
        <v>9.9376901566855004E-7</v>
      </c>
    </row>
    <row r="2054" spans="2:11" x14ac:dyDescent="0.35">
      <c r="B2054" s="5" t="str">
        <f t="shared" si="1355"/>
        <v>SPS1</v>
      </c>
      <c r="C2054" s="5" t="str">
        <f t="shared" si="1352"/>
        <v>CH</v>
      </c>
      <c r="D2054" t="s">
        <v>2189</v>
      </c>
      <c r="E2054" t="str">
        <f t="shared" si="1353"/>
        <v>GWe/yr.</v>
      </c>
      <c r="F2054" s="1">
        <f>'[1]Electricity and CHPs_NCAP'!B$28</f>
        <v>0</v>
      </c>
      <c r="G2054" s="1">
        <f>'[1]Electricity and CHPs_NCAP'!C$28</f>
        <v>9.0330322613393904E-7</v>
      </c>
      <c r="H2054" s="1">
        <f>'[1]Electricity and CHPs_NCAP'!D$28</f>
        <v>1.03121161752566E-6</v>
      </c>
      <c r="I2054" s="1">
        <f>'[1]Electricity and CHPs_NCAP'!E$28</f>
        <v>1.2728474721981701E-6</v>
      </c>
      <c r="J2054" s="1">
        <f>'[1]Electricity and CHPs_NCAP'!F$28</f>
        <v>2.8178729572690202E-5</v>
      </c>
      <c r="K2054" s="1">
        <f>'[1]Electricity and CHPs_NCAP'!G$28</f>
        <v>1.5796166869047699E-5</v>
      </c>
    </row>
    <row r="2055" spans="2:11" x14ac:dyDescent="0.35">
      <c r="B2055" s="5" t="str">
        <f t="shared" si="1355"/>
        <v>SPS1</v>
      </c>
      <c r="C2055" s="5" t="str">
        <f t="shared" si="1352"/>
        <v>CH</v>
      </c>
      <c r="D2055" t="s">
        <v>2190</v>
      </c>
      <c r="E2055" t="str">
        <f t="shared" si="1353"/>
        <v>GWe/yr.</v>
      </c>
      <c r="F2055" s="1">
        <f>'[1]Electricity and CHPs_NCAP'!B$41</f>
        <v>0</v>
      </c>
      <c r="G2055" s="1">
        <f>'[1]Electricity and CHPs_NCAP'!C$41</f>
        <v>2.2233271070843299E-2</v>
      </c>
      <c r="H2055" s="1">
        <f>'[1]Electricity and CHPs_NCAP'!D$41</f>
        <v>0</v>
      </c>
      <c r="I2055" s="1">
        <f>'[1]Electricity and CHPs_NCAP'!E$41</f>
        <v>0</v>
      </c>
      <c r="J2055" s="1">
        <f>'[1]Electricity and CHPs_NCAP'!F$41</f>
        <v>0</v>
      </c>
      <c r="K2055" s="1">
        <f>'[1]Electricity and CHPs_NCAP'!G$41</f>
        <v>0</v>
      </c>
    </row>
    <row r="2056" spans="2:11" x14ac:dyDescent="0.35">
      <c r="B2056" s="5" t="str">
        <f t="shared" si="1355"/>
        <v>SPS1</v>
      </c>
      <c r="C2056" s="5" t="str">
        <f t="shared" si="1352"/>
        <v>CH</v>
      </c>
      <c r="D2056" t="s">
        <v>2191</v>
      </c>
      <c r="E2056" t="str">
        <f t="shared" si="1353"/>
        <v>GWe/yr.</v>
      </c>
      <c r="F2056" s="1">
        <f t="shared" ref="F2056:K2056" si="1358">SUM(F2057:F2071)</f>
        <v>0</v>
      </c>
      <c r="G2056" s="1">
        <f t="shared" si="1358"/>
        <v>7.0093351196077694E-2</v>
      </c>
      <c r="H2056" s="1">
        <f t="shared" si="1358"/>
        <v>6.5689227114365291E-3</v>
      </c>
      <c r="I2056" s="1">
        <f t="shared" si="1358"/>
        <v>1.4364051170616331E-2</v>
      </c>
      <c r="J2056" s="1">
        <f t="shared" si="1358"/>
        <v>0.15784864954431035</v>
      </c>
      <c r="K2056" s="1">
        <f t="shared" si="1358"/>
        <v>6.4733666139218618E-2</v>
      </c>
    </row>
    <row r="2057" spans="2:11" x14ac:dyDescent="0.35">
      <c r="B2057" s="5" t="str">
        <f t="shared" si="1355"/>
        <v>SPS1</v>
      </c>
      <c r="C2057" s="5" t="str">
        <f t="shared" si="1352"/>
        <v>CH</v>
      </c>
      <c r="D2057" t="s">
        <v>2192</v>
      </c>
      <c r="E2057" t="str">
        <f t="shared" si="1353"/>
        <v>GWe/yr.</v>
      </c>
      <c r="F2057" s="1">
        <f>'[1]Electricity and CHPs_NCAP'!B$21</f>
        <v>0</v>
      </c>
      <c r="G2057" s="1">
        <f>'[1]Electricity and CHPs_NCAP'!C$21</f>
        <v>0</v>
      </c>
      <c r="H2057" s="1">
        <f>'[1]Electricity and CHPs_NCAP'!D$21</f>
        <v>0</v>
      </c>
      <c r="I2057" s="1">
        <f>'[1]Electricity and CHPs_NCAP'!E$21</f>
        <v>0</v>
      </c>
      <c r="J2057" s="1">
        <f>'[1]Electricity and CHPs_NCAP'!F$21</f>
        <v>7.5323475286096904E-6</v>
      </c>
      <c r="K2057" s="1">
        <f>'[1]Electricity and CHPs_NCAP'!G$21</f>
        <v>1.06390092580907E-3</v>
      </c>
    </row>
    <row r="2058" spans="2:11" x14ac:dyDescent="0.35">
      <c r="B2058" s="5" t="str">
        <f t="shared" si="1355"/>
        <v>SPS1</v>
      </c>
      <c r="C2058" s="5" t="str">
        <f t="shared" si="1352"/>
        <v>CH</v>
      </c>
      <c r="D2058" t="s">
        <v>2193</v>
      </c>
      <c r="E2058" t="str">
        <f t="shared" si="1353"/>
        <v>GWe/yr.</v>
      </c>
      <c r="F2058" s="1">
        <f>'[1]Electricity and CHPs_NCAP'!B$22</f>
        <v>0</v>
      </c>
      <c r="G2058" s="1">
        <f>'[1]Electricity and CHPs_NCAP'!C$22</f>
        <v>0</v>
      </c>
      <c r="H2058" s="1">
        <f>'[1]Electricity and CHPs_NCAP'!D$22</f>
        <v>0</v>
      </c>
      <c r="I2058" s="1">
        <f>'[1]Electricity and CHPs_NCAP'!E$22</f>
        <v>0</v>
      </c>
      <c r="J2058" s="1">
        <f>'[1]Electricity and CHPs_NCAP'!F$22</f>
        <v>2.9019298075460401E-6</v>
      </c>
      <c r="K2058" s="1">
        <f>'[1]Electricity and CHPs_NCAP'!G$22</f>
        <v>5.3538538307955102E-2</v>
      </c>
    </row>
    <row r="2059" spans="2:11" x14ac:dyDescent="0.35">
      <c r="B2059" s="5" t="str">
        <f t="shared" si="1355"/>
        <v>SPS1</v>
      </c>
      <c r="C2059" s="5" t="str">
        <f t="shared" si="1352"/>
        <v>CH</v>
      </c>
      <c r="D2059" t="s">
        <v>2194</v>
      </c>
      <c r="E2059" t="str">
        <f t="shared" si="1353"/>
        <v>GWe/yr.</v>
      </c>
      <c r="F2059" s="1">
        <f>'[1]Electricity and CHPs_NCAP'!B$23</f>
        <v>0</v>
      </c>
      <c r="G2059" s="1">
        <f>'[1]Electricity and CHPs_NCAP'!C$23</f>
        <v>0</v>
      </c>
      <c r="H2059" s="1">
        <f>'[1]Electricity and CHPs_NCAP'!D$23</f>
        <v>0</v>
      </c>
      <c r="I2059" s="1">
        <f>'[1]Electricity and CHPs_NCAP'!E$23</f>
        <v>0</v>
      </c>
      <c r="J2059" s="1">
        <f>'[1]Electricity and CHPs_NCAP'!F$23</f>
        <v>0</v>
      </c>
      <c r="K2059" s="1">
        <f>'[1]Electricity and CHPs_NCAP'!G$23</f>
        <v>0</v>
      </c>
    </row>
    <row r="2060" spans="2:11" x14ac:dyDescent="0.35">
      <c r="B2060" s="5" t="str">
        <f t="shared" si="1355"/>
        <v>SPS1</v>
      </c>
      <c r="C2060" s="5" t="str">
        <f t="shared" si="1352"/>
        <v>CH</v>
      </c>
      <c r="D2060" t="s">
        <v>2195</v>
      </c>
      <c r="E2060" t="str">
        <f t="shared" si="1353"/>
        <v>GWe/yr.</v>
      </c>
      <c r="F2060" s="1">
        <f>'[1]Electricity and CHPs_NCAP'!B$24</f>
        <v>0</v>
      </c>
      <c r="G2060" s="1">
        <f>'[1]Electricity and CHPs_NCAP'!C$24</f>
        <v>5.4336037528133102E-8</v>
      </c>
      <c r="H2060" s="1">
        <f>'[1]Electricity and CHPs_NCAP'!D$24</f>
        <v>0</v>
      </c>
      <c r="I2060" s="1">
        <f>'[1]Electricity and CHPs_NCAP'!E$24</f>
        <v>0</v>
      </c>
      <c r="J2060" s="1">
        <f>'[1]Electricity and CHPs_NCAP'!F$24</f>
        <v>0</v>
      </c>
      <c r="K2060" s="1">
        <f>'[1]Electricity and CHPs_NCAP'!G$24</f>
        <v>0</v>
      </c>
    </row>
    <row r="2061" spans="2:11" x14ac:dyDescent="0.35">
      <c r="B2061" s="5" t="str">
        <f t="shared" si="1355"/>
        <v>SPS1</v>
      </c>
      <c r="C2061" s="5" t="str">
        <f t="shared" si="1352"/>
        <v>CH</v>
      </c>
      <c r="D2061" t="s">
        <v>2196</v>
      </c>
      <c r="E2061" t="str">
        <f t="shared" si="1353"/>
        <v>GWe/yr.</v>
      </c>
      <c r="F2061" s="1">
        <f>'[1]Electricity and CHPs_NCAP'!B$29</f>
        <v>0</v>
      </c>
      <c r="G2061" s="1">
        <f>'[1]Electricity and CHPs_NCAP'!C$29</f>
        <v>0</v>
      </c>
      <c r="H2061" s="1">
        <f>'[1]Electricity and CHPs_NCAP'!D$29</f>
        <v>0</v>
      </c>
      <c r="I2061" s="1">
        <f>'[1]Electricity and CHPs_NCAP'!E$29</f>
        <v>0</v>
      </c>
      <c r="J2061" s="1">
        <f>'[1]Electricity and CHPs_NCAP'!F$29</f>
        <v>0</v>
      </c>
      <c r="K2061" s="1">
        <f>'[1]Electricity and CHPs_NCAP'!G$29</f>
        <v>0</v>
      </c>
    </row>
    <row r="2062" spans="2:11" x14ac:dyDescent="0.35">
      <c r="B2062" s="5" t="str">
        <f t="shared" si="1355"/>
        <v>SPS1</v>
      </c>
      <c r="C2062" s="5" t="str">
        <f t="shared" si="1352"/>
        <v>CH</v>
      </c>
      <c r="D2062" t="s">
        <v>2197</v>
      </c>
      <c r="E2062" t="str">
        <f t="shared" si="1353"/>
        <v>GWe/yr.</v>
      </c>
      <c r="F2062" s="1">
        <f>'[1]Electricity and CHPs_NCAP'!B$39</f>
        <v>0</v>
      </c>
      <c r="G2062" s="1">
        <f>'[1]Electricity and CHPs_NCAP'!C$39</f>
        <v>1.70542555476664E-7</v>
      </c>
      <c r="H2062" s="1">
        <f>'[1]Electricity and CHPs_NCAP'!D$39</f>
        <v>2.8077293029192501E-6</v>
      </c>
      <c r="I2062" s="1">
        <f>'[1]Electricity and CHPs_NCAP'!E$39</f>
        <v>2.0960466721092301E-3</v>
      </c>
      <c r="J2062" s="1">
        <f>'[1]Electricity and CHPs_NCAP'!F$39</f>
        <v>4.4031496420795999E-2</v>
      </c>
      <c r="K2062" s="1">
        <f>'[1]Electricity and CHPs_NCAP'!G$39</f>
        <v>1.7804203540309343E-6</v>
      </c>
    </row>
    <row r="2063" spans="2:11" x14ac:dyDescent="0.35">
      <c r="B2063" s="5" t="str">
        <f t="shared" si="1355"/>
        <v>SPS1</v>
      </c>
      <c r="C2063" s="5" t="str">
        <f t="shared" si="1352"/>
        <v>CH</v>
      </c>
      <c r="D2063" t="s">
        <v>2198</v>
      </c>
      <c r="E2063" t="str">
        <f t="shared" si="1353"/>
        <v>GWe/yr.</v>
      </c>
      <c r="F2063" s="1">
        <f>'[1]Electricity and CHPs_NCAP'!B$40</f>
        <v>0</v>
      </c>
      <c r="G2063" s="1">
        <f>'[1]Electricity and CHPs_NCAP'!C$40</f>
        <v>0</v>
      </c>
      <c r="H2063" s="1">
        <f>'[1]Electricity and CHPs_NCAP'!D$40</f>
        <v>0</v>
      </c>
      <c r="I2063" s="1">
        <f>'[1]Electricity and CHPs_NCAP'!E$40</f>
        <v>0</v>
      </c>
      <c r="J2063" s="1">
        <f>'[1]Electricity and CHPs_NCAP'!F$40</f>
        <v>2.4559639158943102E-4</v>
      </c>
      <c r="K2063" s="1">
        <f>'[1]Electricity and CHPs_NCAP'!G$40</f>
        <v>1.0128106920033899E-2</v>
      </c>
    </row>
    <row r="2064" spans="2:11" x14ac:dyDescent="0.35">
      <c r="B2064" s="5" t="str">
        <f t="shared" si="1355"/>
        <v>SPS1</v>
      </c>
      <c r="C2064" s="5" t="str">
        <f t="shared" si="1352"/>
        <v>CH</v>
      </c>
      <c r="D2064" t="s">
        <v>2199</v>
      </c>
      <c r="E2064" t="str">
        <f t="shared" si="1353"/>
        <v>GWe/yr.</v>
      </c>
      <c r="F2064" s="1">
        <f>'[1]Electricity and CHPs_NCAP'!B$47</f>
        <v>0</v>
      </c>
      <c r="G2064" s="1">
        <f>'[1]Electricity and CHPs_NCAP'!C$47</f>
        <v>0</v>
      </c>
      <c r="H2064" s="1">
        <f>'[1]Electricity and CHPs_NCAP'!D$47</f>
        <v>0</v>
      </c>
      <c r="I2064" s="1">
        <f>'[1]Electricity and CHPs_NCAP'!E$47</f>
        <v>4.26852785957005E-5</v>
      </c>
      <c r="J2064" s="1">
        <f>'[1]Electricity and CHPs_NCAP'!F$47</f>
        <v>6.6720743148770506E-5</v>
      </c>
      <c r="K2064" s="1">
        <f>'[1]Electricity and CHPs_NCAP'!G$47</f>
        <v>1.09438529978138E-6</v>
      </c>
    </row>
    <row r="2065" spans="2:11" x14ac:dyDescent="0.35">
      <c r="B2065" s="5" t="str">
        <f t="shared" si="1355"/>
        <v>SPS1</v>
      </c>
      <c r="C2065" s="5" t="str">
        <f t="shared" si="1352"/>
        <v>CH</v>
      </c>
      <c r="D2065" t="s">
        <v>2200</v>
      </c>
      <c r="E2065" t="str">
        <f t="shared" si="1353"/>
        <v>GWe/yr.</v>
      </c>
      <c r="F2065" s="1">
        <f>'[1]Electricity and CHPs_NCAP'!B$48</f>
        <v>0</v>
      </c>
      <c r="G2065" s="1">
        <f>'[1]Electricity and CHPs_NCAP'!C$48</f>
        <v>1.3976368316484511E-4</v>
      </c>
      <c r="H2065" s="1">
        <f>'[1]Electricity and CHPs_NCAP'!D$48</f>
        <v>0</v>
      </c>
      <c r="I2065" s="1">
        <f>'[1]Electricity and CHPs_NCAP'!E$48</f>
        <v>0</v>
      </c>
      <c r="J2065" s="1">
        <f>'[1]Electricity and CHPs_NCAP'!F$48</f>
        <v>0</v>
      </c>
      <c r="K2065" s="1">
        <f>'[1]Electricity and CHPs_NCAP'!G$48</f>
        <v>0</v>
      </c>
    </row>
    <row r="2066" spans="2:11" x14ac:dyDescent="0.35">
      <c r="B2066" s="5" t="str">
        <f t="shared" si="1355"/>
        <v>SPS1</v>
      </c>
      <c r="C2066" s="5" t="str">
        <f t="shared" si="1352"/>
        <v>CH</v>
      </c>
      <c r="D2066" t="s">
        <v>2201</v>
      </c>
      <c r="E2066" t="str">
        <f t="shared" si="1353"/>
        <v>GWe/yr.</v>
      </c>
      <c r="F2066" s="1">
        <f>'[1]Electricity and CHPs_NCAP'!B$49</f>
        <v>0</v>
      </c>
      <c r="G2066" s="1">
        <f>'[1]Electricity and CHPs_NCAP'!C$49</f>
        <v>0</v>
      </c>
      <c r="H2066" s="1">
        <f>'[1]Electricity and CHPs_NCAP'!D$49</f>
        <v>0</v>
      </c>
      <c r="I2066" s="1">
        <f>'[1]Electricity and CHPs_NCAP'!E$49</f>
        <v>0</v>
      </c>
      <c r="J2066" s="1">
        <f>'[1]Electricity and CHPs_NCAP'!F$49</f>
        <v>0</v>
      </c>
      <c r="K2066" s="1">
        <f>'[1]Electricity and CHPs_NCAP'!G$49</f>
        <v>0</v>
      </c>
    </row>
    <row r="2067" spans="2:11" x14ac:dyDescent="0.35">
      <c r="B2067" s="5" t="str">
        <f t="shared" si="1355"/>
        <v>SPS1</v>
      </c>
      <c r="C2067" s="5" t="str">
        <f t="shared" si="1352"/>
        <v>CH</v>
      </c>
      <c r="D2067" t="s">
        <v>2202</v>
      </c>
      <c r="E2067" t="str">
        <f t="shared" si="1353"/>
        <v>GWe/yr.</v>
      </c>
      <c r="F2067" s="1">
        <f>'[1]Electricity and CHPs_NCAP'!B$51</f>
        <v>0</v>
      </c>
      <c r="G2067" s="1">
        <f>'[1]Electricity and CHPs_NCAP'!C$51</f>
        <v>1.6591104600019752E-2</v>
      </c>
      <c r="H2067" s="1">
        <f>'[1]Electricity and CHPs_NCAP'!D$51</f>
        <v>0</v>
      </c>
      <c r="I2067" s="1">
        <f>'[1]Electricity and CHPs_NCAP'!E$51</f>
        <v>0</v>
      </c>
      <c r="J2067" s="1">
        <f>'[1]Electricity and CHPs_NCAP'!F$51</f>
        <v>0</v>
      </c>
      <c r="K2067" s="1">
        <f>'[1]Electricity and CHPs_NCAP'!G$51</f>
        <v>0</v>
      </c>
    </row>
    <row r="2068" spans="2:11" x14ac:dyDescent="0.35">
      <c r="B2068" s="5" t="str">
        <f t="shared" si="1355"/>
        <v>SPS1</v>
      </c>
      <c r="C2068" s="5" t="str">
        <f t="shared" si="1352"/>
        <v>CH</v>
      </c>
      <c r="D2068" t="s">
        <v>2203</v>
      </c>
      <c r="E2068" t="str">
        <f t="shared" si="1353"/>
        <v>GWe/yr.</v>
      </c>
      <c r="F2068" s="1">
        <f>'[1]Electricity and CHPs_NCAP'!B$52</f>
        <v>0</v>
      </c>
      <c r="G2068" s="1">
        <f>'[1]Electricity and CHPs_NCAP'!C$52</f>
        <v>0</v>
      </c>
      <c r="H2068" s="1">
        <f>'[1]Electricity and CHPs_NCAP'!D$52</f>
        <v>0</v>
      </c>
      <c r="I2068" s="1">
        <f>'[1]Electricity and CHPs_NCAP'!E$52</f>
        <v>0</v>
      </c>
      <c r="J2068" s="1">
        <f>'[1]Electricity and CHPs_NCAP'!F$52</f>
        <v>0</v>
      </c>
      <c r="K2068" s="1">
        <f>'[1]Electricity and CHPs_NCAP'!G$52</f>
        <v>0</v>
      </c>
    </row>
    <row r="2069" spans="2:11" x14ac:dyDescent="0.35">
      <c r="B2069" s="5" t="str">
        <f t="shared" si="1355"/>
        <v>SPS1</v>
      </c>
      <c r="C2069" s="5" t="str">
        <f t="shared" si="1352"/>
        <v>CH</v>
      </c>
      <c r="D2069" t="s">
        <v>2204</v>
      </c>
      <c r="E2069" t="str">
        <f t="shared" si="1353"/>
        <v>GWe/yr.</v>
      </c>
      <c r="F2069" s="1">
        <f>'[1]Electricity and CHPs_NCAP'!B$54</f>
        <v>0</v>
      </c>
      <c r="G2069" s="1">
        <f>'[1]Electricity and CHPs_NCAP'!C$54</f>
        <v>2.6187167714148401E-2</v>
      </c>
      <c r="H2069" s="1">
        <f>'[1]Electricity and CHPs_NCAP'!D$54</f>
        <v>6.5661149821336102E-3</v>
      </c>
      <c r="I2069" s="1">
        <f>'[1]Electricity and CHPs_NCAP'!E$54</f>
        <v>1.22253192199114E-2</v>
      </c>
      <c r="J2069" s="1">
        <f>'[1]Electricity and CHPs_NCAP'!F$54</f>
        <v>0.11349440171144</v>
      </c>
      <c r="K2069" s="1">
        <f>'[1]Electricity and CHPs_NCAP'!G$54</f>
        <v>2.45179766745548E-7</v>
      </c>
    </row>
    <row r="2070" spans="2:11" x14ac:dyDescent="0.35">
      <c r="B2070" s="5" t="str">
        <f t="shared" si="1355"/>
        <v>SPS1</v>
      </c>
      <c r="C2070" s="5" t="str">
        <f t="shared" si="1352"/>
        <v>CH</v>
      </c>
      <c r="D2070" t="s">
        <v>2205</v>
      </c>
      <c r="E2070" t="str">
        <f t="shared" si="1353"/>
        <v>GWe/yr.</v>
      </c>
      <c r="F2070" s="1">
        <f>'[1]Electricity and CHPs_NCAP'!B$55</f>
        <v>0</v>
      </c>
      <c r="G2070" s="1">
        <f>'[1]Electricity and CHPs_NCAP'!C$55</f>
        <v>2.7175090320151699E-2</v>
      </c>
      <c r="H2070" s="1">
        <f>'[1]Electricity and CHPs_NCAP'!D$55</f>
        <v>0</v>
      </c>
      <c r="I2070" s="1">
        <f>'[1]Electricity and CHPs_NCAP'!E$55</f>
        <v>0</v>
      </c>
      <c r="J2070" s="1">
        <f>'[1]Electricity and CHPs_NCAP'!F$55</f>
        <v>0</v>
      </c>
      <c r="K2070" s="1">
        <f>'[1]Electricity and CHPs_NCAP'!G$55</f>
        <v>0</v>
      </c>
    </row>
    <row r="2071" spans="2:11" x14ac:dyDescent="0.35">
      <c r="B2071" s="5" t="str">
        <f t="shared" si="1355"/>
        <v>SPS1</v>
      </c>
      <c r="C2071" s="5" t="str">
        <f t="shared" si="1352"/>
        <v>CH</v>
      </c>
      <c r="D2071" t="s">
        <v>2206</v>
      </c>
      <c r="E2071" t="str">
        <f t="shared" si="1353"/>
        <v>GWe/yr.</v>
      </c>
      <c r="F2071" s="1">
        <f>'[1]Electricity and CHPs_NCAP'!B$58</f>
        <v>0</v>
      </c>
      <c r="G2071" s="1">
        <f>'[1]Electricity and CHPs_NCAP'!C$58</f>
        <v>0</v>
      </c>
      <c r="H2071" s="1">
        <f>'[1]Electricity and CHPs_NCAP'!D$58</f>
        <v>0</v>
      </c>
      <c r="I2071" s="1">
        <f>'[1]Electricity and CHPs_NCAP'!E$58</f>
        <v>0</v>
      </c>
      <c r="J2071" s="1">
        <f>'[1]Electricity and CHPs_NCAP'!F$58</f>
        <v>0</v>
      </c>
      <c r="K2071" s="1">
        <f>'[1]Electricity and CHPs_NCAP'!G$58</f>
        <v>0</v>
      </c>
    </row>
    <row r="2072" spans="2:11" x14ac:dyDescent="0.35">
      <c r="B2072" s="5" t="str">
        <f t="shared" si="1355"/>
        <v>SPS1</v>
      </c>
      <c r="C2072" s="5" t="str">
        <f t="shared" si="1352"/>
        <v>CH</v>
      </c>
      <c r="D2072" t="s">
        <v>2207</v>
      </c>
      <c r="E2072" t="str">
        <f t="shared" si="1353"/>
        <v>GWe/yr.</v>
      </c>
      <c r="F2072" s="1">
        <f t="shared" ref="F2072:K2072" si="1359">SUM(F2073:F2078)</f>
        <v>0</v>
      </c>
      <c r="G2072" s="1">
        <f t="shared" si="1359"/>
        <v>2.6417752953347444E-7</v>
      </c>
      <c r="H2072" s="1">
        <f t="shared" si="1359"/>
        <v>5.7028382527392892E-7</v>
      </c>
      <c r="I2072" s="1">
        <f t="shared" si="1359"/>
        <v>6.8858568127239617E-2</v>
      </c>
      <c r="J2072" s="1">
        <f t="shared" si="1359"/>
        <v>0.20995526627823086</v>
      </c>
      <c r="K2072" s="1">
        <f t="shared" si="1359"/>
        <v>6.892827220860577E-2</v>
      </c>
    </row>
    <row r="2073" spans="2:11" x14ac:dyDescent="0.35">
      <c r="B2073" s="5" t="str">
        <f t="shared" si="1355"/>
        <v>SPS1</v>
      </c>
      <c r="C2073" s="5" t="str">
        <f t="shared" si="1352"/>
        <v>CH</v>
      </c>
      <c r="D2073" t="s">
        <v>2208</v>
      </c>
      <c r="E2073" t="str">
        <f t="shared" si="1353"/>
        <v>GWe/yr.</v>
      </c>
      <c r="F2073" s="1">
        <f>'[1]Electricity and CHPs_NCAP'!B$19</f>
        <v>0</v>
      </c>
      <c r="G2073" s="1">
        <f>'[1]Electricity and CHPs_NCAP'!C$19</f>
        <v>7.0033082040769399E-8</v>
      </c>
      <c r="H2073" s="1">
        <f>'[1]Electricity and CHPs_NCAP'!D$19</f>
        <v>2.0263736607599799E-7</v>
      </c>
      <c r="I2073" s="1">
        <f>'[1]Electricity and CHPs_NCAP'!E$19</f>
        <v>6.7311437908480196E-2</v>
      </c>
      <c r="J2073" s="1">
        <f>'[1]Electricity and CHPs_NCAP'!F$19</f>
        <v>1.7990978152632599E-2</v>
      </c>
      <c r="K2073" s="1">
        <f>'[1]Electricity and CHPs_NCAP'!G$19</f>
        <v>6.0282919947674102E-8</v>
      </c>
    </row>
    <row r="2074" spans="2:11" x14ac:dyDescent="0.35">
      <c r="B2074" s="5" t="str">
        <f t="shared" si="1355"/>
        <v>SPS1</v>
      </c>
      <c r="C2074" s="5" t="str">
        <f t="shared" si="1352"/>
        <v>CH</v>
      </c>
      <c r="D2074" t="s">
        <v>2209</v>
      </c>
      <c r="E2074" t="str">
        <f t="shared" si="1353"/>
        <v>GWe/yr.</v>
      </c>
      <c r="F2074" s="1">
        <f>'[1]Electricity and CHPs_NCAP'!B$20</f>
        <v>0</v>
      </c>
      <c r="G2074" s="1">
        <f>'[1]Electricity and CHPs_NCAP'!C$20</f>
        <v>0</v>
      </c>
      <c r="H2074" s="1">
        <f>'[1]Electricity and CHPs_NCAP'!D$20</f>
        <v>0</v>
      </c>
      <c r="I2074" s="1">
        <f>'[1]Electricity and CHPs_NCAP'!E$20</f>
        <v>0</v>
      </c>
      <c r="J2074" s="1">
        <f>'[1]Electricity and CHPs_NCAP'!F$20</f>
        <v>0.160721664896192</v>
      </c>
      <c r="K2074" s="1">
        <f>'[1]Electricity and CHPs_NCAP'!G$20</f>
        <v>6.7269384514798301E-3</v>
      </c>
    </row>
    <row r="2075" spans="2:11" x14ac:dyDescent="0.35">
      <c r="B2075" s="5" t="str">
        <f t="shared" si="1355"/>
        <v>SPS1</v>
      </c>
      <c r="C2075" s="5" t="str">
        <f t="shared" si="1352"/>
        <v>CH</v>
      </c>
      <c r="D2075" t="s">
        <v>2210</v>
      </c>
      <c r="E2075" t="str">
        <f t="shared" si="1353"/>
        <v>GWe/yr.</v>
      </c>
      <c r="F2075" s="1">
        <f>'[1]Electricity and CHPs_NCAP'!B$26</f>
        <v>0</v>
      </c>
      <c r="G2075" s="1">
        <f>'[1]Electricity and CHPs_NCAP'!C$26</f>
        <v>4.9144944482681E-8</v>
      </c>
      <c r="H2075" s="1">
        <f>'[1]Electricity and CHPs_NCAP'!D$26</f>
        <v>4.3106009289414001E-8</v>
      </c>
      <c r="I2075" s="1">
        <f>'[1]Electricity and CHPs_NCAP'!E$26</f>
        <v>1.04882179071021E-7</v>
      </c>
      <c r="J2075" s="1">
        <f>'[1]Electricity and CHPs_NCAP'!F$26</f>
        <v>9.6480868179148103E-7</v>
      </c>
      <c r="K2075" s="1">
        <f>'[1]Electricity and CHPs_NCAP'!G$26</f>
        <v>5.6043144756999404E-3</v>
      </c>
    </row>
    <row r="2076" spans="2:11" x14ac:dyDescent="0.35">
      <c r="B2076" s="5" t="str">
        <f t="shared" si="1355"/>
        <v>SPS1</v>
      </c>
      <c r="C2076" s="5" t="str">
        <f t="shared" si="1352"/>
        <v>CH</v>
      </c>
      <c r="D2076" t="s">
        <v>2211</v>
      </c>
      <c r="E2076" t="str">
        <f t="shared" si="1353"/>
        <v>GWe/yr.</v>
      </c>
      <c r="F2076" s="1">
        <f>'[1]Electricity and CHPs_NCAP'!B$27</f>
        <v>0</v>
      </c>
      <c r="G2076" s="1">
        <f>'[1]Electricity and CHPs_NCAP'!C$27</f>
        <v>0</v>
      </c>
      <c r="H2076" s="1">
        <f>'[1]Electricity and CHPs_NCAP'!D$27</f>
        <v>0</v>
      </c>
      <c r="I2076" s="1">
        <f>'[1]Electricity and CHPs_NCAP'!E$27</f>
        <v>0</v>
      </c>
      <c r="J2076" s="1">
        <f>'[1]Electricity and CHPs_NCAP'!F$27</f>
        <v>2.35135907511939E-2</v>
      </c>
      <c r="K2076" s="1">
        <f>'[1]Electricity and CHPs_NCAP'!G$27</f>
        <v>1.57623701344804E-2</v>
      </c>
    </row>
    <row r="2077" spans="2:11" x14ac:dyDescent="0.35">
      <c r="B2077" s="5" t="str">
        <f t="shared" si="1355"/>
        <v>SPS1</v>
      </c>
      <c r="C2077" s="5" t="str">
        <f t="shared" si="1352"/>
        <v>CH</v>
      </c>
      <c r="D2077" t="s">
        <v>2212</v>
      </c>
      <c r="E2077" t="str">
        <f t="shared" si="1353"/>
        <v>GWe/yr.</v>
      </c>
      <c r="F2077" s="1">
        <f>'[1]Electricity and CHPs_NCAP'!B$44</f>
        <v>0</v>
      </c>
      <c r="G2077" s="1">
        <f>'[1]Electricity and CHPs_NCAP'!C$44</f>
        <v>1.4499950301002401E-7</v>
      </c>
      <c r="H2077" s="1">
        <f>'[1]Electricity and CHPs_NCAP'!D$44</f>
        <v>3.2454044990851701E-7</v>
      </c>
      <c r="I2077" s="1">
        <f>'[1]Electricity and CHPs_NCAP'!E$44</f>
        <v>1.54702533658036E-3</v>
      </c>
      <c r="J2077" s="1">
        <f>'[1]Electricity and CHPs_NCAP'!F$44</f>
        <v>5.9391983765624602E-8</v>
      </c>
      <c r="K2077" s="1">
        <f>'[1]Electricity and CHPs_NCAP'!G$44</f>
        <v>1.6803537752787801E-8</v>
      </c>
    </row>
    <row r="2078" spans="2:11" x14ac:dyDescent="0.35">
      <c r="B2078" s="5" t="str">
        <f t="shared" si="1355"/>
        <v>SPS1</v>
      </c>
      <c r="C2078" s="5" t="str">
        <f t="shared" si="1352"/>
        <v>CH</v>
      </c>
      <c r="D2078" t="s">
        <v>2213</v>
      </c>
      <c r="E2078" t="str">
        <f t="shared" ref="E2078:E2108" si="1360">E2077</f>
        <v>GWe/yr.</v>
      </c>
      <c r="F2078" s="1">
        <f>'[1]Electricity and CHPs_NCAP'!B$45</f>
        <v>0</v>
      </c>
      <c r="G2078" s="1">
        <f>'[1]Electricity and CHPs_NCAP'!C$45</f>
        <v>0</v>
      </c>
      <c r="H2078" s="1">
        <f>'[1]Electricity and CHPs_NCAP'!D$45</f>
        <v>0</v>
      </c>
      <c r="I2078" s="1">
        <f>'[1]Electricity and CHPs_NCAP'!E$45</f>
        <v>0</v>
      </c>
      <c r="J2078" s="1">
        <f>'[1]Electricity and CHPs_NCAP'!F$45</f>
        <v>7.7280082775468203E-3</v>
      </c>
      <c r="K2078" s="1">
        <f>'[1]Electricity and CHPs_NCAP'!G$45</f>
        <v>4.0834572060487899E-2</v>
      </c>
    </row>
    <row r="2079" spans="2:11" x14ac:dyDescent="0.35">
      <c r="B2079" s="5" t="str">
        <f t="shared" si="1355"/>
        <v>SPS1</v>
      </c>
      <c r="C2079" s="5" t="str">
        <f t="shared" si="1352"/>
        <v>CH</v>
      </c>
      <c r="D2079" t="s">
        <v>2214</v>
      </c>
      <c r="E2079" t="str">
        <f t="shared" si="1360"/>
        <v>GWe/yr.</v>
      </c>
      <c r="F2079" s="1">
        <f t="shared" ref="F2079:K2079" si="1361">SUM(F2080:F2086)</f>
        <v>0</v>
      </c>
      <c r="G2079" s="1">
        <f t="shared" si="1361"/>
        <v>1.760884754483396E-2</v>
      </c>
      <c r="H2079" s="1">
        <f t="shared" si="1361"/>
        <v>2.2270844241891685E-2</v>
      </c>
      <c r="I2079" s="1">
        <f t="shared" si="1361"/>
        <v>6.7288262918377764E-2</v>
      </c>
      <c r="J2079" s="1">
        <f t="shared" si="1361"/>
        <v>0.1258596995165443</v>
      </c>
      <c r="K2079" s="1">
        <f t="shared" si="1361"/>
        <v>0.12492153325782834</v>
      </c>
    </row>
    <row r="2080" spans="2:11" x14ac:dyDescent="0.35">
      <c r="B2080" s="5" t="str">
        <f t="shared" si="1355"/>
        <v>SPS1</v>
      </c>
      <c r="C2080" s="5" t="str">
        <f t="shared" si="1352"/>
        <v>CH</v>
      </c>
      <c r="D2080" t="s">
        <v>2215</v>
      </c>
      <c r="E2080" t="str">
        <f t="shared" si="1360"/>
        <v>GWe/yr.</v>
      </c>
      <c r="F2080" s="1">
        <f>'[1]Electricity and CHPs_NCAP'!B$25</f>
        <v>0</v>
      </c>
      <c r="G2080" s="1">
        <f>'[1]Electricity and CHPs_NCAP'!C$25</f>
        <v>4.1331102259415203E-8</v>
      </c>
      <c r="H2080" s="1">
        <f>'[1]Electricity and CHPs_NCAP'!D$25</f>
        <v>2.55102985022847E-5</v>
      </c>
      <c r="I2080" s="1">
        <f>'[1]Electricity and CHPs_NCAP'!E$25</f>
        <v>3.9982655798053303E-2</v>
      </c>
      <c r="J2080" s="1">
        <f>'[1]Electricity and CHPs_NCAP'!F$25</f>
        <v>6.3801625999014594E-2</v>
      </c>
      <c r="K2080" s="1">
        <f>'[1]Electricity and CHPs_NCAP'!G$25</f>
        <v>6.1406191427627E-3</v>
      </c>
    </row>
    <row r="2081" spans="2:11" x14ac:dyDescent="0.35">
      <c r="B2081" s="5" t="str">
        <f t="shared" si="1355"/>
        <v>SPS1</v>
      </c>
      <c r="C2081" s="5" t="str">
        <f t="shared" si="1352"/>
        <v>CH</v>
      </c>
      <c r="D2081" t="s">
        <v>2216</v>
      </c>
      <c r="E2081" t="str">
        <f t="shared" si="1360"/>
        <v>GWe/yr.</v>
      </c>
      <c r="F2081" s="1">
        <f>'[1]Electricity and CHPs_NCAP'!B$31</f>
        <v>0</v>
      </c>
      <c r="G2081" s="1">
        <f>'[1]Electricity and CHPs_NCAP'!C$31</f>
        <v>0</v>
      </c>
      <c r="H2081" s="1">
        <f>'[1]Electricity and CHPs_NCAP'!D$31</f>
        <v>0</v>
      </c>
      <c r="I2081" s="1">
        <f>'[1]Electricity and CHPs_NCAP'!E$31</f>
        <v>0</v>
      </c>
      <c r="J2081" s="1">
        <f>'[1]Electricity and CHPs_NCAP'!F$31</f>
        <v>8.3822495558912805E-5</v>
      </c>
      <c r="K2081" s="1">
        <f>'[1]Electricity and CHPs_NCAP'!G$31</f>
        <v>3.0909756907618302E-6</v>
      </c>
    </row>
    <row r="2082" spans="2:11" x14ac:dyDescent="0.35">
      <c r="B2082" s="5" t="str">
        <f t="shared" si="1355"/>
        <v>SPS1</v>
      </c>
      <c r="C2082" s="5" t="str">
        <f t="shared" si="1352"/>
        <v>CH</v>
      </c>
      <c r="D2082" t="s">
        <v>2217</v>
      </c>
      <c r="E2082" t="str">
        <f t="shared" si="1360"/>
        <v>GWe/yr.</v>
      </c>
      <c r="F2082" s="1">
        <f>'[1]Electricity and CHPs_NCAP'!B$42</f>
        <v>0</v>
      </c>
      <c r="G2082" s="1">
        <f>'[1]Electricity and CHPs_NCAP'!C$42</f>
        <v>1.76088062137317E-2</v>
      </c>
      <c r="H2082" s="1">
        <f>'[1]Electricity and CHPs_NCAP'!D$42</f>
        <v>2.22453339433894E-2</v>
      </c>
      <c r="I2082" s="1">
        <f>'[1]Electricity and CHPs_NCAP'!E$42</f>
        <v>2.7055347914664799E-2</v>
      </c>
      <c r="J2082" s="1">
        <f>'[1]Electricity and CHPs_NCAP'!F$42</f>
        <v>4.2078458182939898E-5</v>
      </c>
      <c r="K2082" s="1">
        <f>'[1]Electricity and CHPs_NCAP'!G$42</f>
        <v>5.7674454559608498E-2</v>
      </c>
    </row>
    <row r="2083" spans="2:11" x14ac:dyDescent="0.35">
      <c r="B2083" s="5" t="str">
        <f t="shared" si="1355"/>
        <v>SPS1</v>
      </c>
      <c r="C2083" s="5" t="str">
        <f t="shared" si="1352"/>
        <v>CH</v>
      </c>
      <c r="D2083" t="s">
        <v>2218</v>
      </c>
      <c r="E2083" t="str">
        <f t="shared" si="1360"/>
        <v>GWe/yr.</v>
      </c>
      <c r="F2083" s="1">
        <f>'[1]Electricity and CHPs_NCAP'!B$43</f>
        <v>0</v>
      </c>
      <c r="G2083" s="1">
        <f>'[1]Electricity and CHPs_NCAP'!C$43</f>
        <v>0</v>
      </c>
      <c r="H2083" s="1">
        <f>'[1]Electricity and CHPs_NCAP'!D$43</f>
        <v>0</v>
      </c>
      <c r="I2083" s="1">
        <f>'[1]Electricity and CHPs_NCAP'!E$43</f>
        <v>0</v>
      </c>
      <c r="J2083" s="1">
        <f>'[1]Electricity and CHPs_NCAP'!F$43</f>
        <v>4.1521634053384701E-2</v>
      </c>
      <c r="K2083" s="1">
        <f>'[1]Electricity and CHPs_NCAP'!G$43</f>
        <v>6.1102000583810198E-2</v>
      </c>
    </row>
    <row r="2084" spans="2:11" x14ac:dyDescent="0.35">
      <c r="B2084" s="5" t="str">
        <f t="shared" si="1355"/>
        <v>SPS1</v>
      </c>
      <c r="C2084" s="5" t="str">
        <f t="shared" si="1352"/>
        <v>CH</v>
      </c>
      <c r="D2084" t="s">
        <v>2219</v>
      </c>
      <c r="E2084" t="str">
        <f t="shared" si="1360"/>
        <v>GWe/yr.</v>
      </c>
      <c r="F2084" s="1">
        <f>'[1]Electricity and CHPs_NCAP'!B$50</f>
        <v>0</v>
      </c>
      <c r="G2084" s="1">
        <f>'[1]Electricity and CHPs_NCAP'!C$50</f>
        <v>0</v>
      </c>
      <c r="H2084" s="1">
        <f>'[1]Electricity and CHPs_NCAP'!D$50</f>
        <v>0</v>
      </c>
      <c r="I2084" s="1">
        <f>'[1]Electricity and CHPs_NCAP'!E$50</f>
        <v>5.5679993887895195E-5</v>
      </c>
      <c r="J2084" s="1">
        <f>'[1]Electricity and CHPs_NCAP'!F$50</f>
        <v>6.2678208765567698E-5</v>
      </c>
      <c r="K2084" s="1">
        <f>'[1]Electricity and CHPs_NCAP'!G$50</f>
        <v>8.8570513933597409E-7</v>
      </c>
    </row>
    <row r="2085" spans="2:11" x14ac:dyDescent="0.35">
      <c r="B2085" s="5" t="str">
        <f t="shared" si="1355"/>
        <v>SPS1</v>
      </c>
      <c r="C2085" s="5" t="str">
        <f t="shared" si="1352"/>
        <v>CH</v>
      </c>
      <c r="D2085" t="s">
        <v>2220</v>
      </c>
      <c r="E2085" t="str">
        <f t="shared" si="1360"/>
        <v>GWe/yr.</v>
      </c>
      <c r="F2085" s="1">
        <f>'[1]Electricity and CHPs_NCAP'!B$53</f>
        <v>0</v>
      </c>
      <c r="G2085" s="1">
        <f>'[1]Electricity and CHPs_NCAP'!C$53</f>
        <v>0</v>
      </c>
      <c r="H2085" s="1">
        <f>'[1]Electricity and CHPs_NCAP'!D$53</f>
        <v>0</v>
      </c>
      <c r="I2085" s="1">
        <f>'[1]Electricity and CHPs_NCAP'!E$53</f>
        <v>1.5562270657421831E-4</v>
      </c>
      <c r="J2085" s="1">
        <f>'[1]Electricity and CHPs_NCAP'!F$53</f>
        <v>2.0302613258594299E-2</v>
      </c>
      <c r="K2085" s="1">
        <f>'[1]Electricity and CHPs_NCAP'!G$53</f>
        <v>3.6701838936309798E-7</v>
      </c>
    </row>
    <row r="2086" spans="2:11" x14ac:dyDescent="0.35">
      <c r="B2086" s="5" t="str">
        <f t="shared" si="1355"/>
        <v>SPS1</v>
      </c>
      <c r="C2086" s="5" t="str">
        <f t="shared" si="1352"/>
        <v>CH</v>
      </c>
      <c r="D2086" t="s">
        <v>2221</v>
      </c>
      <c r="E2086" t="str">
        <f t="shared" si="1360"/>
        <v>GWe/yr.</v>
      </c>
      <c r="F2086" s="1">
        <f>'[1]Electricity and CHPs_NCAP'!B$56</f>
        <v>0</v>
      </c>
      <c r="G2086" s="1">
        <f>'[1]Electricity and CHPs_NCAP'!C$56</f>
        <v>0</v>
      </c>
      <c r="H2086" s="1">
        <f>'[1]Electricity and CHPs_NCAP'!D$56</f>
        <v>0</v>
      </c>
      <c r="I2086" s="1">
        <f>'[1]Electricity and CHPs_NCAP'!E$56</f>
        <v>3.8956505197546101E-5</v>
      </c>
      <c r="J2086" s="1">
        <f>'[1]Electricity and CHPs_NCAP'!F$56</f>
        <v>4.5247043043293799E-5</v>
      </c>
      <c r="K2086" s="1">
        <f>'[1]Electricity and CHPs_NCAP'!G$56</f>
        <v>1.15272427482535E-7</v>
      </c>
    </row>
    <row r="2087" spans="2:11" x14ac:dyDescent="0.35">
      <c r="B2087" s="5" t="str">
        <f t="shared" si="1355"/>
        <v>SPS1</v>
      </c>
      <c r="C2087" s="5" t="str">
        <f t="shared" si="1352"/>
        <v>CH</v>
      </c>
      <c r="D2087" t="s">
        <v>2222</v>
      </c>
      <c r="E2087" t="str">
        <f t="shared" si="1360"/>
        <v>GWe/yr.</v>
      </c>
      <c r="F2087" s="1">
        <f t="shared" ref="F2087:K2087" si="1362">F2088</f>
        <v>0</v>
      </c>
      <c r="G2087" s="1">
        <f t="shared" si="1362"/>
        <v>7.1321141341911497E-3</v>
      </c>
      <c r="H2087" s="1">
        <f t="shared" si="1362"/>
        <v>0.40214467587499603</v>
      </c>
      <c r="I2087" s="1">
        <f t="shared" si="1362"/>
        <v>0.17574985763318099</v>
      </c>
      <c r="J2087" s="1">
        <f t="shared" si="1362"/>
        <v>6.5023429550865401E-6</v>
      </c>
      <c r="K2087" s="1">
        <f t="shared" si="1362"/>
        <v>10.015634678562099</v>
      </c>
    </row>
    <row r="2088" spans="2:11" x14ac:dyDescent="0.35">
      <c r="B2088" s="5" t="str">
        <f t="shared" si="1355"/>
        <v>SPS1</v>
      </c>
      <c r="C2088" s="5" t="str">
        <f t="shared" si="1352"/>
        <v>CH</v>
      </c>
      <c r="D2088" t="s">
        <v>2223</v>
      </c>
      <c r="E2088" t="str">
        <f t="shared" si="1360"/>
        <v>GWe/yr.</v>
      </c>
      <c r="F2088" s="1">
        <f>'[1]Electricity and CHPs_NCAP'!B$33</f>
        <v>0</v>
      </c>
      <c r="G2088" s="1">
        <f>'[1]Electricity and CHPs_NCAP'!C$33</f>
        <v>7.1321141341911497E-3</v>
      </c>
      <c r="H2088" s="1">
        <f>'[1]Electricity and CHPs_NCAP'!D$33</f>
        <v>0.40214467587499603</v>
      </c>
      <c r="I2088" s="1">
        <f>'[1]Electricity and CHPs_NCAP'!E$33</f>
        <v>0.17574985763318099</v>
      </c>
      <c r="J2088" s="1">
        <f>'[1]Electricity and CHPs_NCAP'!F$33</f>
        <v>6.5023429550865401E-6</v>
      </c>
      <c r="K2088" s="1">
        <f>'[1]Electricity and CHPs_NCAP'!G$33</f>
        <v>10.015634678562099</v>
      </c>
    </row>
    <row r="2089" spans="2:11" x14ac:dyDescent="0.35">
      <c r="B2089" s="5" t="str">
        <f t="shared" si="1355"/>
        <v>SPS1</v>
      </c>
      <c r="C2089" s="5" t="str">
        <f t="shared" si="1352"/>
        <v>CH</v>
      </c>
      <c r="D2089" t="s">
        <v>2224</v>
      </c>
      <c r="E2089" t="str">
        <f t="shared" si="1360"/>
        <v>GWe/yr.</v>
      </c>
      <c r="F2089" s="1">
        <f t="shared" ref="F2089:K2089" si="1363">SUM(F2090:F2094)</f>
        <v>0</v>
      </c>
      <c r="G2089" s="1">
        <f t="shared" si="1363"/>
        <v>1.1557151257832822E-6</v>
      </c>
      <c r="H2089" s="1">
        <f t="shared" si="1363"/>
        <v>4.4481319209032293</v>
      </c>
      <c r="I2089" s="1">
        <f t="shared" si="1363"/>
        <v>1.2197428853547663</v>
      </c>
      <c r="J2089" s="1">
        <f t="shared" si="1363"/>
        <v>9.9430633542461955</v>
      </c>
      <c r="K2089" s="1">
        <f t="shared" si="1363"/>
        <v>16.14246995068228</v>
      </c>
    </row>
    <row r="2090" spans="2:11" x14ac:dyDescent="0.35">
      <c r="B2090" s="5" t="str">
        <f t="shared" si="1355"/>
        <v>SPS1</v>
      </c>
      <c r="C2090" s="5" t="str">
        <f t="shared" si="1352"/>
        <v>CH</v>
      </c>
      <c r="D2090" t="s">
        <v>2225</v>
      </c>
      <c r="E2090" t="str">
        <f t="shared" si="1360"/>
        <v>GWe/yr.</v>
      </c>
      <c r="F2090" s="1">
        <f>'[1]Electricity and CHPs_NCAP'!B$34</f>
        <v>0</v>
      </c>
      <c r="G2090" s="1">
        <f>'[1]Electricity and CHPs_NCAP'!C$34</f>
        <v>0</v>
      </c>
      <c r="H2090" s="1">
        <f>'[1]Electricity and CHPs_NCAP'!D$34</f>
        <v>4.4925556050438402E-2</v>
      </c>
      <c r="I2090" s="1">
        <f>'[1]Electricity and CHPs_NCAP'!E$34</f>
        <v>2.36977982596288E-2</v>
      </c>
      <c r="J2090" s="1">
        <f>'[1]Electricity and CHPs_NCAP'!F$34</f>
        <v>0.17054335411760899</v>
      </c>
      <c r="K2090" s="1">
        <f>'[1]Electricity and CHPs_NCAP'!G$34</f>
        <v>1.3787030017265101</v>
      </c>
    </row>
    <row r="2091" spans="2:11" x14ac:dyDescent="0.35">
      <c r="B2091" s="5" t="str">
        <f t="shared" si="1355"/>
        <v>SPS1</v>
      </c>
      <c r="C2091" s="5" t="str">
        <f t="shared" si="1352"/>
        <v>CH</v>
      </c>
      <c r="D2091" t="s">
        <v>2226</v>
      </c>
      <c r="E2091" t="str">
        <f t="shared" si="1360"/>
        <v>GWe/yr.</v>
      </c>
      <c r="F2091" s="1">
        <f>'[1]Electricity and CHPs_NCAP'!B$35</f>
        <v>0</v>
      </c>
      <c r="G2091" s="1">
        <f>'[1]Electricity and CHPs_NCAP'!C$35</f>
        <v>0</v>
      </c>
      <c r="H2091" s="1">
        <f>'[1]Electricity and CHPs_NCAP'!D$35</f>
        <v>1.76796564663221</v>
      </c>
      <c r="I2091" s="1">
        <f>'[1]Electricity and CHPs_NCAP'!E$35</f>
        <v>1.19604246951417</v>
      </c>
      <c r="J2091" s="1">
        <f>'[1]Electricity and CHPs_NCAP'!F$35</f>
        <v>4.67154400250514</v>
      </c>
      <c r="K2091" s="1">
        <f>'[1]Electricity and CHPs_NCAP'!G$35</f>
        <v>10.668463389387099</v>
      </c>
    </row>
    <row r="2092" spans="2:11" x14ac:dyDescent="0.35">
      <c r="B2092" s="5" t="str">
        <f t="shared" si="1355"/>
        <v>SPS1</v>
      </c>
      <c r="C2092" s="5" t="str">
        <f t="shared" si="1352"/>
        <v>CH</v>
      </c>
      <c r="D2092" t="s">
        <v>2227</v>
      </c>
      <c r="E2092" t="str">
        <f t="shared" si="1360"/>
        <v>GWe/yr.</v>
      </c>
      <c r="F2092" s="1">
        <f>'[1]Electricity and CHPs_NCAP'!B$36</f>
        <v>0</v>
      </c>
      <c r="G2092" s="1">
        <f>'[1]Electricity and CHPs_NCAP'!C$36</f>
        <v>5.8177112985829305E-7</v>
      </c>
      <c r="H2092" s="1">
        <f>'[1]Electricity and CHPs_NCAP'!D$36</f>
        <v>4.6133827311092655E-4</v>
      </c>
      <c r="I2092" s="1">
        <f>'[1]Electricity and CHPs_NCAP'!E$36</f>
        <v>7.34657564046802E-7</v>
      </c>
      <c r="J2092" s="1">
        <f>'[1]Electricity and CHPs_NCAP'!F$36</f>
        <v>3.3758405877197626E-5</v>
      </c>
      <c r="K2092" s="1">
        <f>'[1]Electricity and CHPs_NCAP'!G$36</f>
        <v>8.76670972204837E-4</v>
      </c>
    </row>
    <row r="2093" spans="2:11" x14ac:dyDescent="0.35">
      <c r="B2093" s="5" t="str">
        <f t="shared" si="1355"/>
        <v>SPS1</v>
      </c>
      <c r="C2093" s="5" t="str">
        <f t="shared" si="1352"/>
        <v>CH</v>
      </c>
      <c r="D2093" t="s">
        <v>2228</v>
      </c>
      <c r="E2093" t="str">
        <f t="shared" si="1360"/>
        <v>GWe/yr.</v>
      </c>
      <c r="F2093" s="1">
        <f>'[1]Electricity and CHPs_NCAP'!B$37</f>
        <v>0</v>
      </c>
      <c r="G2093" s="1">
        <f>'[1]Electricity and CHPs_NCAP'!C$37</f>
        <v>5.7394399592498904E-7</v>
      </c>
      <c r="H2093" s="1">
        <f>'[1]Electricity and CHPs_NCAP'!D$37</f>
        <v>0.63006298314484999</v>
      </c>
      <c r="I2093" s="1">
        <f>'[1]Electricity and CHPs_NCAP'!E$37</f>
        <v>1.1968748710422059E-6</v>
      </c>
      <c r="J2093" s="1">
        <f>'[1]Electricity and CHPs_NCAP'!F$37</f>
        <v>0.28404418530666808</v>
      </c>
      <c r="K2093" s="1">
        <f>'[1]Electricity and CHPs_NCAP'!G$37</f>
        <v>0.944731184231694</v>
      </c>
    </row>
    <row r="2094" spans="2:11" x14ac:dyDescent="0.35">
      <c r="B2094" s="5" t="str">
        <f t="shared" si="1355"/>
        <v>SPS1</v>
      </c>
      <c r="C2094" s="5" t="str">
        <f t="shared" si="1352"/>
        <v>CH</v>
      </c>
      <c r="D2094" t="s">
        <v>2229</v>
      </c>
      <c r="E2094" t="str">
        <f t="shared" si="1360"/>
        <v>GWe/yr.</v>
      </c>
      <c r="F2094" s="1">
        <f>'[1]Electricity and CHPs_NCAP'!B$38</f>
        <v>0</v>
      </c>
      <c r="G2094" s="1">
        <f>'[1]Electricity and CHPs_NCAP'!C$38</f>
        <v>0</v>
      </c>
      <c r="H2094" s="1">
        <f>'[1]Electricity and CHPs_NCAP'!D$38</f>
        <v>2.0047163968026198</v>
      </c>
      <c r="I2094" s="1">
        <f>'[1]Electricity and CHPs_NCAP'!E$38</f>
        <v>6.8604853238255296E-7</v>
      </c>
      <c r="J2094" s="1">
        <f>'[1]Electricity and CHPs_NCAP'!F$38</f>
        <v>4.8168980539108999</v>
      </c>
      <c r="K2094" s="1">
        <f>'[1]Electricity and CHPs_NCAP'!G$38</f>
        <v>3.14969570436477</v>
      </c>
    </row>
    <row r="2095" spans="2:11" x14ac:dyDescent="0.35">
      <c r="B2095" s="5" t="str">
        <f t="shared" si="1355"/>
        <v>SPS1</v>
      </c>
      <c r="C2095" s="5" t="str">
        <f t="shared" si="1352"/>
        <v>CH</v>
      </c>
      <c r="D2095" t="s">
        <v>2230</v>
      </c>
      <c r="E2095" t="str">
        <f t="shared" si="1360"/>
        <v>GWe/yr.</v>
      </c>
      <c r="F2095" s="1">
        <f>'[1]Electricity and CHPs_NCAP'!B$32</f>
        <v>0</v>
      </c>
      <c r="G2095" s="1">
        <f>'[1]Electricity and CHPs_NCAP'!C$32</f>
        <v>0</v>
      </c>
      <c r="H2095" s="1">
        <f>'[1]Electricity and CHPs_NCAP'!D$32</f>
        <v>0</v>
      </c>
      <c r="I2095" s="1">
        <f>'[1]Electricity and CHPs_NCAP'!E$32</f>
        <v>0</v>
      </c>
      <c r="J2095" s="1">
        <f>'[1]Electricity and CHPs_NCAP'!F$32</f>
        <v>2.1251972455373701E-2</v>
      </c>
      <c r="K2095" s="1">
        <f>'[1]Electricity and CHPs_NCAP'!G$32</f>
        <v>0.18373456128576399</v>
      </c>
    </row>
    <row r="2096" spans="2:11" x14ac:dyDescent="0.35">
      <c r="B2096" s="5" t="str">
        <f t="shared" si="1355"/>
        <v>SPS1</v>
      </c>
      <c r="C2096" s="5" t="str">
        <f t="shared" si="1352"/>
        <v>CH</v>
      </c>
      <c r="D2096" t="s">
        <v>2231</v>
      </c>
      <c r="E2096" t="str">
        <f t="shared" si="1360"/>
        <v>GWe/yr.</v>
      </c>
      <c r="F2096" s="1">
        <f t="shared" ref="F2096:K2096" si="1364">F2095</f>
        <v>0</v>
      </c>
      <c r="G2096" s="1">
        <f t="shared" si="1364"/>
        <v>0</v>
      </c>
      <c r="H2096" s="1">
        <f t="shared" si="1364"/>
        <v>0</v>
      </c>
      <c r="I2096" s="1">
        <f t="shared" si="1364"/>
        <v>0</v>
      </c>
      <c r="J2096" s="1">
        <f t="shared" si="1364"/>
        <v>2.1251972455373701E-2</v>
      </c>
      <c r="K2096" s="1">
        <f t="shared" si="1364"/>
        <v>0.18373456128576399</v>
      </c>
    </row>
    <row r="2097" spans="2:11" x14ac:dyDescent="0.35">
      <c r="B2097" s="5" t="str">
        <f t="shared" si="1355"/>
        <v>SPS1</v>
      </c>
      <c r="C2097" s="5" t="str">
        <f t="shared" si="1352"/>
        <v>CH</v>
      </c>
      <c r="D2097" t="s">
        <v>2232</v>
      </c>
      <c r="E2097" t="str">
        <f t="shared" si="1360"/>
        <v>GWe/yr.</v>
      </c>
      <c r="F2097" s="1">
        <f t="shared" ref="F2097:K2097" si="1365">SUM(F2098:F2100)</f>
        <v>0</v>
      </c>
      <c r="G2097" s="1">
        <f t="shared" si="1365"/>
        <v>0</v>
      </c>
      <c r="H2097" s="1">
        <f t="shared" si="1365"/>
        <v>0</v>
      </c>
      <c r="I2097" s="1">
        <f t="shared" si="1365"/>
        <v>1.6867747610114418E-4</v>
      </c>
      <c r="J2097" s="1">
        <f t="shared" si="1365"/>
        <v>6.1202746327674279E-2</v>
      </c>
      <c r="K2097" s="1">
        <f t="shared" si="1365"/>
        <v>1.7175165183884639E-2</v>
      </c>
    </row>
    <row r="2098" spans="2:11" x14ac:dyDescent="0.35">
      <c r="B2098" s="5" t="str">
        <f t="shared" si="1355"/>
        <v>SPS1</v>
      </c>
      <c r="C2098" s="5" t="str">
        <f t="shared" si="1352"/>
        <v>CH</v>
      </c>
      <c r="D2098" t="s">
        <v>2233</v>
      </c>
      <c r="E2098" t="str">
        <f t="shared" si="1360"/>
        <v>GWe/yr.</v>
      </c>
      <c r="F2098" s="1">
        <f>'[1]Electricity and CHPs_NCAP'!B$30</f>
        <v>0</v>
      </c>
      <c r="G2098" s="1">
        <f>'[1]Electricity and CHPs_NCAP'!C$30</f>
        <v>0</v>
      </c>
      <c r="H2098" s="1">
        <f>'[1]Electricity and CHPs_NCAP'!D$30</f>
        <v>0</v>
      </c>
      <c r="I2098" s="1">
        <f>'[1]Electricity and CHPs_NCAP'!E$30</f>
        <v>0</v>
      </c>
      <c r="J2098" s="1">
        <f>'[1]Electricity and CHPs_NCAP'!F$30</f>
        <v>1.8005382231585699E-2</v>
      </c>
      <c r="K2098" s="1">
        <f>'[1]Electricity and CHPs_NCAP'!G$30</f>
        <v>1.9789919421247401E-7</v>
      </c>
    </row>
    <row r="2099" spans="2:11" x14ac:dyDescent="0.35">
      <c r="B2099" s="5" t="str">
        <f t="shared" si="1355"/>
        <v>SPS1</v>
      </c>
      <c r="C2099" s="5" t="str">
        <f t="shared" si="1352"/>
        <v>CH</v>
      </c>
      <c r="D2099" t="s">
        <v>2234</v>
      </c>
      <c r="E2099" t="str">
        <f t="shared" si="1360"/>
        <v>GWe/yr.</v>
      </c>
      <c r="F2099" s="1">
        <f>'[1]Electricity and CHPs_NCAP'!B$46</f>
        <v>0</v>
      </c>
      <c r="G2099" s="1">
        <f>'[1]Electricity and CHPs_NCAP'!C$46</f>
        <v>0</v>
      </c>
      <c r="H2099" s="1">
        <f>'[1]Electricity and CHPs_NCAP'!D$46</f>
        <v>0</v>
      </c>
      <c r="I2099" s="1">
        <f>'[1]Electricity and CHPs_NCAP'!E$46</f>
        <v>1.35566597677287E-4</v>
      </c>
      <c r="J2099" s="1">
        <f>'[1]Electricity and CHPs_NCAP'!F$46</f>
        <v>4.16748105714939E-2</v>
      </c>
      <c r="K2099" s="1">
        <f>'[1]Electricity and CHPs_NCAP'!G$46</f>
        <v>1.7174789199305401E-2</v>
      </c>
    </row>
    <row r="2100" spans="2:11" x14ac:dyDescent="0.35">
      <c r="B2100" s="5" t="str">
        <f t="shared" si="1355"/>
        <v>SPS1</v>
      </c>
      <c r="C2100" s="5" t="str">
        <f t="shared" si="1352"/>
        <v>CH</v>
      </c>
      <c r="D2100" t="s">
        <v>2235</v>
      </c>
      <c r="E2100" t="str">
        <f t="shared" si="1360"/>
        <v>GWe/yr.</v>
      </c>
      <c r="F2100" s="1">
        <f>'[1]Electricity and CHPs_NCAP'!B$57</f>
        <v>0</v>
      </c>
      <c r="G2100" s="1">
        <f>'[1]Electricity and CHPs_NCAP'!C$57</f>
        <v>0</v>
      </c>
      <c r="H2100" s="1">
        <f>'[1]Electricity and CHPs_NCAP'!D$57</f>
        <v>0</v>
      </c>
      <c r="I2100" s="1">
        <f>'[1]Electricity and CHPs_NCAP'!E$57</f>
        <v>3.3110878423857199E-5</v>
      </c>
      <c r="J2100" s="1">
        <f>'[1]Electricity and CHPs_NCAP'!F$57</f>
        <v>1.52255352459468E-3</v>
      </c>
      <c r="K2100" s="1">
        <f>'[1]Electricity and CHPs_NCAP'!G$57</f>
        <v>1.78085385026085E-7</v>
      </c>
    </row>
    <row r="2101" spans="2:11" x14ac:dyDescent="0.35">
      <c r="B2101" s="5" t="str">
        <f t="shared" si="1355"/>
        <v>SPS1</v>
      </c>
      <c r="C2101" s="5" t="str">
        <f t="shared" si="1352"/>
        <v>CH</v>
      </c>
      <c r="D2101" t="s">
        <v>2236</v>
      </c>
      <c r="E2101" t="str">
        <f t="shared" si="1360"/>
        <v>GWe/yr.</v>
      </c>
      <c r="F2101" s="1">
        <f t="shared" ref="F2101:K2101" si="1366">SUM(F2102:F2108)</f>
        <v>2.1615816349978526E-3</v>
      </c>
      <c r="G2101" s="1">
        <f t="shared" si="1366"/>
        <v>3.2720373236260528E-6</v>
      </c>
      <c r="H2101" s="1">
        <f t="shared" si="1366"/>
        <v>1.0994978527022691E-5</v>
      </c>
      <c r="I2101" s="1">
        <f t="shared" si="1366"/>
        <v>0.10807571083439012</v>
      </c>
      <c r="J2101" s="1">
        <f t="shared" si="1366"/>
        <v>0.40976937401970559</v>
      </c>
      <c r="K2101" s="1">
        <f t="shared" si="1366"/>
        <v>1.0941508850105561</v>
      </c>
    </row>
    <row r="2102" spans="2:11" x14ac:dyDescent="0.35">
      <c r="B2102" s="5" t="str">
        <f t="shared" si="1355"/>
        <v>SPS1</v>
      </c>
      <c r="C2102" s="5" t="str">
        <f t="shared" si="1352"/>
        <v>CH</v>
      </c>
      <c r="D2102" t="s">
        <v>2237</v>
      </c>
      <c r="E2102" t="str">
        <f t="shared" si="1360"/>
        <v>GWe/yr.</v>
      </c>
      <c r="F2102" s="1">
        <f>'[1]Electricity and CHPs_NCAP'!B$63</f>
        <v>0</v>
      </c>
      <c r="G2102" s="1">
        <f>'[1]Electricity and CHPs_NCAP'!C$63</f>
        <v>1.2309491483494699E-7</v>
      </c>
      <c r="H2102" s="1">
        <f>'[1]Electricity and CHPs_NCAP'!D$63</f>
        <v>1.37694582436461E-7</v>
      </c>
      <c r="I2102" s="1">
        <f>'[1]Electricity and CHPs_NCAP'!E$63</f>
        <v>1.4738179546961401E-7</v>
      </c>
      <c r="J2102" s="1">
        <f>'[1]Electricity and CHPs_NCAP'!F$63</f>
        <v>4.8874385157111897E-7</v>
      </c>
      <c r="K2102" s="1">
        <f>'[1]Electricity and CHPs_NCAP'!G$63</f>
        <v>2.79902136812215E-7</v>
      </c>
    </row>
    <row r="2103" spans="2:11" x14ac:dyDescent="0.35">
      <c r="B2103" s="5" t="str">
        <f t="shared" si="1355"/>
        <v>SPS1</v>
      </c>
      <c r="C2103" s="5" t="str">
        <f t="shared" si="1352"/>
        <v>CH</v>
      </c>
      <c r="D2103" t="s">
        <v>2238</v>
      </c>
      <c r="E2103" t="str">
        <f t="shared" si="1360"/>
        <v>GWe/yr.</v>
      </c>
      <c r="F2103" s="1">
        <f>'[1]Electricity and CHPs_NCAP'!B$64</f>
        <v>3.6959549270204899E-4</v>
      </c>
      <c r="G2103" s="1">
        <f>'[1]Electricity and CHPs_NCAP'!C$64</f>
        <v>4.9033683045680198E-7</v>
      </c>
      <c r="H2103" s="1">
        <f>'[1]Electricity and CHPs_NCAP'!D$64</f>
        <v>2.1738393187226499E-6</v>
      </c>
      <c r="I2103" s="1">
        <f>'[1]Electricity and CHPs_NCAP'!E$64</f>
        <v>5.3349219050724202E-5</v>
      </c>
      <c r="J2103" s="1">
        <f>'[1]Electricity and CHPs_NCAP'!F$64</f>
        <v>0.22701652121355501</v>
      </c>
      <c r="K2103" s="1">
        <f>'[1]Electricity and CHPs_NCAP'!G$64</f>
        <v>0.82933987407424103</v>
      </c>
    </row>
    <row r="2104" spans="2:11" x14ac:dyDescent="0.35">
      <c r="B2104" s="5" t="str">
        <f t="shared" si="1355"/>
        <v>SPS1</v>
      </c>
      <c r="C2104" s="5" t="str">
        <f t="shared" si="1352"/>
        <v>CH</v>
      </c>
      <c r="D2104" t="s">
        <v>2239</v>
      </c>
      <c r="E2104" t="str">
        <f t="shared" si="1360"/>
        <v>GWe/yr.</v>
      </c>
      <c r="F2104" s="1">
        <f>'[1]Electricity and CHPs_NCAP'!B$65</f>
        <v>2.7142938404674298E-4</v>
      </c>
      <c r="G2104" s="1">
        <f>'[1]Electricity and CHPs_NCAP'!C$65</f>
        <v>3.68204827613681E-7</v>
      </c>
      <c r="H2104" s="1">
        <f>'[1]Electricity and CHPs_NCAP'!D$65</f>
        <v>1.5664280738423099E-6</v>
      </c>
      <c r="I2104" s="1">
        <f>'[1]Electricity and CHPs_NCAP'!E$65</f>
        <v>4.9056909363036403E-5</v>
      </c>
      <c r="J2104" s="1">
        <f>'[1]Electricity and CHPs_NCAP'!F$65</f>
        <v>1.7759821858087401E-3</v>
      </c>
      <c r="K2104" s="1">
        <f>'[1]Electricity and CHPs_NCAP'!G$65</f>
        <v>2.68671390530952E-2</v>
      </c>
    </row>
    <row r="2105" spans="2:11" x14ac:dyDescent="0.35">
      <c r="B2105" s="5" t="str">
        <f t="shared" si="1355"/>
        <v>SPS1</v>
      </c>
      <c r="C2105" s="5" t="str">
        <f t="shared" si="1352"/>
        <v>CH</v>
      </c>
      <c r="D2105" t="s">
        <v>2240</v>
      </c>
      <c r="E2105" t="str">
        <f t="shared" si="1360"/>
        <v>GWe/yr.</v>
      </c>
      <c r="F2105" s="1">
        <f>'[1]Electricity and CHPs_NCAP'!B$66</f>
        <v>2.5251960366908698E-4</v>
      </c>
      <c r="G2105" s="1">
        <f>'[1]Electricity and CHPs_NCAP'!C$66</f>
        <v>3.7928543454098598E-7</v>
      </c>
      <c r="H2105" s="1">
        <f>'[1]Electricity and CHPs_NCAP'!D$66</f>
        <v>1.06739486531459E-6</v>
      </c>
      <c r="I2105" s="1">
        <f>'[1]Electricity and CHPs_NCAP'!E$66</f>
        <v>7.5657310993976198E-2</v>
      </c>
      <c r="J2105" s="1">
        <f>'[1]Electricity and CHPs_NCAP'!F$66</f>
        <v>0.16316638117976201</v>
      </c>
      <c r="K2105" s="1">
        <f>'[1]Electricity and CHPs_NCAP'!G$66</f>
        <v>0.23198883438325399</v>
      </c>
    </row>
    <row r="2106" spans="2:11" x14ac:dyDescent="0.35">
      <c r="B2106" s="5" t="str">
        <f t="shared" si="1355"/>
        <v>SPS1</v>
      </c>
      <c r="C2106" s="5" t="str">
        <f t="shared" si="1352"/>
        <v>CH</v>
      </c>
      <c r="D2106" t="s">
        <v>2241</v>
      </c>
      <c r="E2106" t="str">
        <f t="shared" si="1360"/>
        <v>GWe/yr.</v>
      </c>
      <c r="F2106" s="1">
        <f>'[1]Electricity and CHPs_NCAP'!B$67</f>
        <v>5.0727674541142494E-4</v>
      </c>
      <c r="G2106" s="1">
        <f>'[1]Electricity and CHPs_NCAP'!C$67</f>
        <v>7.6512608556875992E-7</v>
      </c>
      <c r="H2106" s="1">
        <f>'[1]Electricity and CHPs_NCAP'!D$67</f>
        <v>2.48244348184094E-6</v>
      </c>
      <c r="I2106" s="1">
        <f>'[1]Electricity and CHPs_NCAP'!E$67</f>
        <v>1.252423955426854E-2</v>
      </c>
      <c r="J2106" s="1">
        <f>'[1]Electricity and CHPs_NCAP'!F$67</f>
        <v>6.4300018519432203E-3</v>
      </c>
      <c r="K2106" s="1">
        <f>'[1]Electricity and CHPs_NCAP'!G$67</f>
        <v>2.3253910269106903E-3</v>
      </c>
    </row>
    <row r="2107" spans="2:11" x14ac:dyDescent="0.35">
      <c r="B2107" s="5" t="str">
        <f t="shared" si="1355"/>
        <v>SPS1</v>
      </c>
      <c r="C2107" s="5" t="str">
        <f t="shared" si="1352"/>
        <v>CH</v>
      </c>
      <c r="D2107" t="s">
        <v>2242</v>
      </c>
      <c r="E2107" t="str">
        <f t="shared" si="1360"/>
        <v>GWe/yr.</v>
      </c>
      <c r="F2107" s="1">
        <f>'[1]Electricity and CHPs_NCAP'!B$68</f>
        <v>5.0738582830758599E-4</v>
      </c>
      <c r="G2107" s="1">
        <f>'[1]Electricity and CHPs_NCAP'!C$68</f>
        <v>7.6552199172383705E-7</v>
      </c>
      <c r="H2107" s="1">
        <f>'[1]Electricity and CHPs_NCAP'!D$68</f>
        <v>2.4882301954126098E-6</v>
      </c>
      <c r="I2107" s="1">
        <f>'[1]Electricity and CHPs_NCAP'!E$68</f>
        <v>1.254699416069033E-2</v>
      </c>
      <c r="J2107" s="1">
        <f>'[1]Electricity and CHPs_NCAP'!F$68</f>
        <v>6.6797815220432395E-3</v>
      </c>
      <c r="K2107" s="1">
        <f>'[1]Electricity and CHPs_NCAP'!G$68</f>
        <v>2.2399769185444699E-3</v>
      </c>
    </row>
    <row r="2108" spans="2:11" x14ac:dyDescent="0.35">
      <c r="B2108" s="5" t="str">
        <f t="shared" si="1355"/>
        <v>SPS1</v>
      </c>
      <c r="C2108" s="5" t="str">
        <f t="shared" si="1352"/>
        <v>CH</v>
      </c>
      <c r="D2108" t="s">
        <v>2243</v>
      </c>
      <c r="E2108" t="str">
        <f t="shared" si="1360"/>
        <v>GWe/yr.</v>
      </c>
      <c r="F2108" s="1">
        <f>'[1]Electricity and CHPs_NCAP'!B$69</f>
        <v>2.5337458086096301E-4</v>
      </c>
      <c r="G2108" s="1">
        <f>'[1]Electricity and CHPs_NCAP'!C$69</f>
        <v>3.8046723888704001E-7</v>
      </c>
      <c r="H2108" s="1">
        <f>'[1]Electricity and CHPs_NCAP'!D$69</f>
        <v>1.07894800945313E-6</v>
      </c>
      <c r="I2108" s="1">
        <f>'[1]Electricity and CHPs_NCAP'!E$69</f>
        <v>7.2446126152458301E-3</v>
      </c>
      <c r="J2108" s="1">
        <f>'[1]Electricity and CHPs_NCAP'!F$69</f>
        <v>4.7002173227417799E-3</v>
      </c>
      <c r="K2108" s="1">
        <f>'[1]Electricity and CHPs_NCAP'!G$69</f>
        <v>1.38938965237411E-3</v>
      </c>
    </row>
    <row r="2109" spans="2:11" x14ac:dyDescent="0.35">
      <c r="B2109" s="5" t="str">
        <f>'SPS1'!B1897</f>
        <v>SPS1</v>
      </c>
      <c r="C2109" s="5" t="str">
        <f>'SPS1'!C1897</f>
        <v>CH</v>
      </c>
      <c r="D2109" s="2" t="s">
        <v>2244</v>
      </c>
      <c r="E2109" s="2" t="s">
        <v>1973</v>
      </c>
      <c r="F2109" s="3">
        <f t="shared" ref="F2109:K2109" si="1367">SUM(F2110:F2159)</f>
        <v>3.0586620279508695E-4</v>
      </c>
      <c r="G2109" s="3">
        <f t="shared" si="1367"/>
        <v>0.47256979343809929</v>
      </c>
      <c r="H2109" s="3">
        <f t="shared" si="1367"/>
        <v>0.87394136191890215</v>
      </c>
      <c r="I2109" s="3">
        <f t="shared" si="1367"/>
        <v>2.0696512511314511</v>
      </c>
      <c r="J2109" s="3">
        <f t="shared" si="1367"/>
        <v>2.1082823245834668</v>
      </c>
      <c r="K2109" s="3">
        <f t="shared" si="1367"/>
        <v>4.5826563294514626</v>
      </c>
    </row>
    <row r="2110" spans="2:11" x14ac:dyDescent="0.35">
      <c r="B2110" s="5" t="str">
        <f t="shared" ref="B2110:B2141" si="1368">B2109</f>
        <v>SPS1</v>
      </c>
      <c r="C2110" s="5" t="str">
        <f t="shared" ref="C2110:C2141" si="1369">C2109</f>
        <v>CH</v>
      </c>
      <c r="D2110" t="s">
        <v>2245</v>
      </c>
      <c r="E2110" t="str">
        <f t="shared" ref="E2110:E2141" si="1370">E2109</f>
        <v>Million</v>
      </c>
      <c r="F2110" s="1" cm="1">
        <f t="array" ref="F2110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0" s="1" cm="1">
        <f t="array" ref="G2110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0" s="1" cm="1">
        <f t="array" ref="H2110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0" s="1" cm="1">
        <f t="array" ref="I2110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0" s="1" cm="1">
        <f t="array" ref="J2110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0" s="1" cm="1">
        <f t="array" ref="K2110">SUMPRODUCT(("var_ncap"=[1]OUT_TransportEnergyCons!$B$4:$B$10000)*1,("-"=[1]OUT_TransportEnergyCons!$C$4:$C$10000)*1,ISNUMBER(SEARCH("T_C*bat*ext",[1]OUT_TransportEnergyCons!$A$4:$A$10000))*1,[1]OUT_TransportEnergyCons!I$4:I$10000)</f>
        <v>0</v>
      </c>
    </row>
    <row r="2111" spans="2:11" x14ac:dyDescent="0.35">
      <c r="B2111" s="5" t="str">
        <f t="shared" si="1368"/>
        <v>SPS1</v>
      </c>
      <c r="C2111" s="5" t="str">
        <f t="shared" si="1369"/>
        <v>CH</v>
      </c>
      <c r="D2111" t="s">
        <v>2246</v>
      </c>
      <c r="E2111" t="str">
        <f t="shared" si="1370"/>
        <v>Million</v>
      </c>
      <c r="F2111" s="1" cm="1">
        <f t="array" ref="F2111">SUMPRODUCT(("var_ncap"=[1]OUT_TransportEnergyCons!$B$4:$B$10000)*1,("-"=[1]OUT_TransportEnergyCons!$C$4:$C$10000)*1,ISNUMBER(SEARCH("T_C*bat*s1",[1]OUT_TransportEnergyCons!$A$4:$A$10000))*1,[1]OUT_TransportEnergyCons!D$4:D$10000)</f>
        <v>4.2042449062014402E-5</v>
      </c>
      <c r="G2111" s="1" cm="1">
        <f t="array" ref="G2111">SUMPRODUCT(("var_ncap"=[1]OUT_TransportEnergyCons!$B$4:$B$10000)*1,("-"=[1]OUT_TransportEnergyCons!$C$4:$C$10000)*1,ISNUMBER(SEARCH("T_C*bat*s1",[1]OUT_TransportEnergyCons!$A$4:$A$10000))*1,[1]OUT_TransportEnergyCons!E$4:E$10000)</f>
        <v>5.2040791144413096E-4</v>
      </c>
      <c r="H2111" s="1" cm="1">
        <f t="array" ref="H2111">SUMPRODUCT(("var_ncap"=[1]OUT_TransportEnergyCons!$B$4:$B$10000)*1,("-"=[1]OUT_TransportEnergyCons!$C$4:$C$10000)*1,ISNUMBER(SEARCH("T_C*bat*s1",[1]OUT_TransportEnergyCons!$A$4:$A$10000))*1,[1]OUT_TransportEnergyCons!F$4:F$10000)</f>
        <v>4.97791372745042E-4</v>
      </c>
      <c r="I2111" s="1" cm="1">
        <f t="array" ref="I2111">SUMPRODUCT(("var_ncap"=[1]OUT_TransportEnergyCons!$B$4:$B$10000)*1,("-"=[1]OUT_TransportEnergyCons!$C$4:$C$10000)*1,ISNUMBER(SEARCH("T_C*bat*s1",[1]OUT_TransportEnergyCons!$A$4:$A$10000))*1,[1]OUT_TransportEnergyCons!G$4:G$10000)</f>
        <v>0.15021627354239001</v>
      </c>
      <c r="J2111" s="1" cm="1">
        <f t="array" ref="J2111">SUMPRODUCT(("var_ncap"=[1]OUT_TransportEnergyCons!$B$4:$B$10000)*1,("-"=[1]OUT_TransportEnergyCons!$C$4:$C$10000)*1,ISNUMBER(SEARCH("T_C*bat*s1",[1]OUT_TransportEnergyCons!$A$4:$A$10000))*1,[1]OUT_TransportEnergyCons!H$4:H$10000)</f>
        <v>0.153124073900925</v>
      </c>
      <c r="K2111" s="1" cm="1">
        <f t="array" ref="K2111">SUMPRODUCT(("var_ncap"=[1]OUT_TransportEnergyCons!$B$4:$B$10000)*1,("-"=[1]OUT_TransportEnergyCons!$C$4:$C$10000)*1,ISNUMBER(SEARCH("T_C*bat*s1",[1]OUT_TransportEnergyCons!$A$4:$A$10000))*1,[1]OUT_TransportEnergyCons!I$4:I$10000)</f>
        <v>0.29424800094271197</v>
      </c>
    </row>
    <row r="2112" spans="2:11" x14ac:dyDescent="0.35">
      <c r="B2112" s="5" t="str">
        <f t="shared" si="1368"/>
        <v>SPS1</v>
      </c>
      <c r="C2112" s="5" t="str">
        <f t="shared" si="1369"/>
        <v>CH</v>
      </c>
      <c r="D2112" t="s">
        <v>2247</v>
      </c>
      <c r="E2112" t="str">
        <f t="shared" si="1370"/>
        <v>Million</v>
      </c>
      <c r="F2112" s="1" cm="1">
        <f t="array" ref="F2112">SUMPRODUCT(("var_ncap"=[1]OUT_TransportEnergyCons!$B$4:$B$10000)*1,("-"=[1]OUT_TransportEnergyCons!$C$4:$C$10000)*1,ISNUMBER(SEARCH("T_C*bat*s2",[1]OUT_TransportEnergyCons!$A$4:$A$10000))*1,[1]OUT_TransportEnergyCons!D$4:D$10000)</f>
        <v>6.8426334576237604E-5</v>
      </c>
      <c r="G2112" s="1" cm="1">
        <f t="array" ref="G2112">SUMPRODUCT(("var_ncap"=[1]OUT_TransportEnergyCons!$B$4:$B$10000)*1,("-"=[1]OUT_TransportEnergyCons!$C$4:$C$10000)*1,ISNUMBER(SEARCH("T_C*bat*s2",[1]OUT_TransportEnergyCons!$A$4:$A$10000))*1,[1]OUT_TransportEnergyCons!E$4:E$10000)</f>
        <v>1.5447320621190801E-4</v>
      </c>
      <c r="H2112" s="1" cm="1">
        <f t="array" ref="H2112">SUMPRODUCT(("var_ncap"=[1]OUT_TransportEnergyCons!$B$4:$B$10000)*1,("-"=[1]OUT_TransportEnergyCons!$C$4:$C$10000)*1,ISNUMBER(SEARCH("T_C*bat*s2",[1]OUT_TransportEnergyCons!$A$4:$A$10000))*1,[1]OUT_TransportEnergyCons!F$4:F$10000)</f>
        <v>9.6544099080330001E-2</v>
      </c>
      <c r="I2112" s="1" cm="1">
        <f t="array" ref="I2112">SUMPRODUCT(("var_ncap"=[1]OUT_TransportEnergyCons!$B$4:$B$10000)*1,("-"=[1]OUT_TransportEnergyCons!$C$4:$C$10000)*1,ISNUMBER(SEARCH("T_C*bat*s2",[1]OUT_TransportEnergyCons!$A$4:$A$10000))*1,[1]OUT_TransportEnergyCons!G$4:G$10000)</f>
        <v>0.57989204466990796</v>
      </c>
      <c r="J2112" s="1" cm="1">
        <f t="array" ref="J2112">SUMPRODUCT(("var_ncap"=[1]OUT_TransportEnergyCons!$B$4:$B$10000)*1,("-"=[1]OUT_TransportEnergyCons!$C$4:$C$10000)*1,ISNUMBER(SEARCH("T_C*bat*s2",[1]OUT_TransportEnergyCons!$A$4:$A$10000))*1,[1]OUT_TransportEnergyCons!H$4:H$10000)</f>
        <v>0.65874452653456395</v>
      </c>
      <c r="K2112" s="1" cm="1">
        <f t="array" ref="K2112">SUMPRODUCT(("var_ncap"=[1]OUT_TransportEnergyCons!$B$4:$B$10000)*1,("-"=[1]OUT_TransportEnergyCons!$C$4:$C$10000)*1,ISNUMBER(SEARCH("T_C*bat*s2",[1]OUT_TransportEnergyCons!$A$4:$A$10000))*1,[1]OUT_TransportEnergyCons!I$4:I$10000)</f>
        <v>1.47474730611503</v>
      </c>
    </row>
    <row r="2113" spans="2:11" x14ac:dyDescent="0.35">
      <c r="B2113" s="5" t="str">
        <f t="shared" si="1368"/>
        <v>SPS1</v>
      </c>
      <c r="C2113" s="5" t="str">
        <f t="shared" si="1369"/>
        <v>CH</v>
      </c>
      <c r="D2113" t="s">
        <v>2248</v>
      </c>
      <c r="E2113" t="str">
        <f t="shared" si="1370"/>
        <v>Million</v>
      </c>
      <c r="F2113" s="1" cm="1">
        <f t="array" ref="F2113">SUMPRODUCT(("var_ncap"=[1]OUT_TransportEnergyCons!$B$4:$B$10000)*1,("-"=[1]OUT_TransportEnergyCons!$C$4:$C$10000)*1,ISNUMBER(SEARCH("T_C*bat*s3",[1]OUT_TransportEnergyCons!$A$4:$A$10000))*1,[1]OUT_TransportEnergyCons!D$4:D$10000)</f>
        <v>5.1813486079803903E-5</v>
      </c>
      <c r="G2113" s="1" cm="1">
        <f t="array" ref="G2113">SUMPRODUCT(("var_ncap"=[1]OUT_TransportEnergyCons!$B$4:$B$10000)*1,("-"=[1]OUT_TransportEnergyCons!$C$4:$C$10000)*1,ISNUMBER(SEARCH("T_C*bat*s3",[1]OUT_TransportEnergyCons!$A$4:$A$10000))*1,[1]OUT_TransportEnergyCons!E$4:E$10000)</f>
        <v>2.61272100113439E-3</v>
      </c>
      <c r="H2113" s="1" cm="1">
        <f t="array" ref="H2113">SUMPRODUCT(("var_ncap"=[1]OUT_TransportEnergyCons!$B$4:$B$10000)*1,("-"=[1]OUT_TransportEnergyCons!$C$4:$C$10000)*1,ISNUMBER(SEARCH("T_C*bat*s3",[1]OUT_TransportEnergyCons!$A$4:$A$10000))*1,[1]OUT_TransportEnergyCons!F$4:F$10000)</f>
        <v>1.76286515242187E-3</v>
      </c>
      <c r="I2113" s="1" cm="1">
        <f t="array" ref="I2113">SUMPRODUCT(("var_ncap"=[1]OUT_TransportEnergyCons!$B$4:$B$10000)*1,("-"=[1]OUT_TransportEnergyCons!$C$4:$C$10000)*1,ISNUMBER(SEARCH("T_C*bat*s3",[1]OUT_TransportEnergyCons!$A$4:$A$10000))*1,[1]OUT_TransportEnergyCons!G$4:G$10000)</f>
        <v>1.9906817029657301E-4</v>
      </c>
      <c r="J2113" s="1" cm="1">
        <f t="array" ref="J2113">SUMPRODUCT(("var_ncap"=[1]OUT_TransportEnergyCons!$B$4:$B$10000)*1,("-"=[1]OUT_TransportEnergyCons!$C$4:$C$10000)*1,ISNUMBER(SEARCH("T_C*bat*s3",[1]OUT_TransportEnergyCons!$A$4:$A$10000))*1,[1]OUT_TransportEnergyCons!H$4:H$10000)</f>
        <v>0.42737880532863298</v>
      </c>
      <c r="K2113" s="1" cm="1">
        <f t="array" ref="K2113">SUMPRODUCT(("var_ncap"=[1]OUT_TransportEnergyCons!$B$4:$B$10000)*1,("-"=[1]OUT_TransportEnergyCons!$C$4:$C$10000)*1,ISNUMBER(SEARCH("T_C*bat*s3",[1]OUT_TransportEnergyCons!$A$4:$A$10000))*1,[1]OUT_TransportEnergyCons!I$4:I$10000)</f>
        <v>0.89811899514164695</v>
      </c>
    </row>
    <row r="2114" spans="2:11" x14ac:dyDescent="0.35">
      <c r="B2114" s="5" t="str">
        <f t="shared" si="1368"/>
        <v>SPS1</v>
      </c>
      <c r="C2114" s="5" t="str">
        <f t="shared" si="1369"/>
        <v>CH</v>
      </c>
      <c r="D2114" t="s">
        <v>2249</v>
      </c>
      <c r="E2114" t="str">
        <f t="shared" si="1370"/>
        <v>Million</v>
      </c>
      <c r="F2114" s="1" cm="1">
        <f t="array" ref="F2114">SUMPRODUCT(("var_ncap"=[1]OUT_TransportEnergyCons!$B$4:$B$10000)*1,("-"=[1]OUT_TransportEnergyCons!$C$4:$C$10000)*1,ISNUMBER(SEARCH("T_C*bat*s4",[1]OUT_TransportEnergyCons!$A$4:$A$10000))*1,[1]OUT_TransportEnergyCons!D$4:D$10000)</f>
        <v>1.43583933077031E-4</v>
      </c>
      <c r="G2114" s="1" cm="1">
        <f t="array" ref="G2114">SUMPRODUCT(("var_ncap"=[1]OUT_TransportEnergyCons!$B$4:$B$10000)*1,("-"=[1]OUT_TransportEnergyCons!$C$4:$C$10000)*1,ISNUMBER(SEARCH("T_C*bat*s4",[1]OUT_TransportEnergyCons!$A$4:$A$10000))*1,[1]OUT_TransportEnergyCons!E$4:E$10000)</f>
        <v>8.0505636774961295E-2</v>
      </c>
      <c r="H2114" s="1" cm="1">
        <f t="array" ref="H2114">SUMPRODUCT(("var_ncap"=[1]OUT_TransportEnergyCons!$B$4:$B$10000)*1,("-"=[1]OUT_TransportEnergyCons!$C$4:$C$10000)*1,ISNUMBER(SEARCH("T_C*bat*s4",[1]OUT_TransportEnergyCons!$A$4:$A$10000))*1,[1]OUT_TransportEnergyCons!F$4:F$10000)</f>
        <v>0.17416766613817999</v>
      </c>
      <c r="I2114" s="1" cm="1">
        <f t="array" ref="I2114">SUMPRODUCT(("var_ncap"=[1]OUT_TransportEnergyCons!$B$4:$B$10000)*1,("-"=[1]OUT_TransportEnergyCons!$C$4:$C$10000)*1,ISNUMBER(SEARCH("T_C*bat*s4",[1]OUT_TransportEnergyCons!$A$4:$A$10000))*1,[1]OUT_TransportEnergyCons!G$4:G$10000)</f>
        <v>0.81157833898035503</v>
      </c>
      <c r="J2114" s="1" cm="1">
        <f t="array" ref="J2114">SUMPRODUCT(("var_ncap"=[1]OUT_TransportEnergyCons!$B$4:$B$10000)*1,("-"=[1]OUT_TransportEnergyCons!$C$4:$C$10000)*1,ISNUMBER(SEARCH("T_C*bat*s4",[1]OUT_TransportEnergyCons!$A$4:$A$10000))*1,[1]OUT_TransportEnergyCons!H$4:H$10000)</f>
        <v>0.86903137756640703</v>
      </c>
      <c r="K2114" s="1" cm="1">
        <f t="array" ref="K2114">SUMPRODUCT(("var_ncap"=[1]OUT_TransportEnergyCons!$B$4:$B$10000)*1,("-"=[1]OUT_TransportEnergyCons!$C$4:$C$10000)*1,ISNUMBER(SEARCH("T_C*bat*s4",[1]OUT_TransportEnergyCons!$A$4:$A$10000))*1,[1]OUT_TransportEnergyCons!I$4:I$10000)</f>
        <v>1.9155373764967201</v>
      </c>
    </row>
    <row r="2115" spans="2:11" x14ac:dyDescent="0.35">
      <c r="B2115" s="5" t="str">
        <f t="shared" si="1368"/>
        <v>SPS1</v>
      </c>
      <c r="C2115" s="5" t="str">
        <f t="shared" si="1369"/>
        <v>CH</v>
      </c>
      <c r="D2115" t="s">
        <v>2250</v>
      </c>
      <c r="E2115" t="str">
        <f t="shared" si="1370"/>
        <v>Million</v>
      </c>
      <c r="F2115" s="1" cm="1">
        <f t="array" ref="F2115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SUMPRODUCT(("var_ncap"=[1]OUT_TransportEnergyCons!$B$4:$B$10000)*1,("-"=[1]OUT_TransportEnergyCons!$C$4:$C$10000)*1,ISNUMBER(SEARCH("T_C*pev*GSL*s1",[1]OUT_TransportEnergyCons!$A$4:$A$10000))*1,[1]OUT_TransportEnergyCons!E$4:E$10000)</f>
        <v>3.2073146587557003E-5</v>
      </c>
      <c r="H2115" s="1" cm="1">
        <f t="array" ref="H2115">SUMPRODUCT(("var_ncap"=[1]OUT_TransportEnergyCons!$B$4:$B$10000)*1,("-"=[1]OUT_TransportEnergyCons!$C$4:$C$10000)*1,ISNUMBER(SEARCH("T_C*pev*GSL*s1",[1]OUT_TransportEnergyCons!$A$4:$A$10000))*1,[1]OUT_TransportEnergyCons!F$4:F$10000)</f>
        <v>3.5122318062068098E-5</v>
      </c>
      <c r="I2115" s="1" cm="1">
        <f t="array" ref="I2115">SUMPRODUCT(("var_ncap"=[1]OUT_TransportEnergyCons!$B$4:$B$10000)*1,("-"=[1]OUT_TransportEnergyCons!$C$4:$C$10000)*1,ISNUMBER(SEARCH("T_C*pev*GSL*s1",[1]OUT_TransportEnergyCons!$A$4:$A$10000))*1,[1]OUT_TransportEnergyCons!G$4:G$10000)</f>
        <v>3.9002831781393603E-5</v>
      </c>
      <c r="J2115" s="1" cm="1">
        <f t="array" ref="J2115">SUMPRODUCT(("var_ncap"=[1]OUT_TransportEnergyCons!$B$4:$B$10000)*1,("-"=[1]OUT_TransportEnergyCons!$C$4:$C$10000)*1,ISNUMBER(SEARCH("T_C*pev*GSL*s1",[1]OUT_TransportEnergyCons!$A$4:$A$10000))*1,[1]OUT_TransportEnergyCons!H$4:H$10000)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SUMPRODUCT(("var_ncap"=[1]OUT_TransportEnergyCons!$B$4:$B$10000)*1,("-"=[1]OUT_TransportEnergyCons!$C$4:$C$10000)*1,ISNUMBER(SEARCH("T_C*pev*GSL*s1",[1]OUT_TransportEnergyCons!$A$4:$A$10000))*1,[1]OUT_TransportEnergyCons!I$4:I$10000)</f>
        <v>0</v>
      </c>
    </row>
    <row r="2116" spans="2:11" x14ac:dyDescent="0.35">
      <c r="B2116" s="5" t="str">
        <f t="shared" si="1368"/>
        <v>SPS1</v>
      </c>
      <c r="C2116" s="5" t="str">
        <f t="shared" si="1369"/>
        <v>CH</v>
      </c>
      <c r="D2116" t="s">
        <v>2251</v>
      </c>
      <c r="E2116" t="str">
        <f t="shared" si="1370"/>
        <v>Million</v>
      </c>
      <c r="F2116" s="1" cm="1">
        <f t="array" ref="F2116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16" s="1" cm="1">
        <f t="array" ref="G2116">SUMPRODUCT(("var_ncap"=[1]OUT_TransportEnergyCons!$B$4:$B$10000)*1,("-"=[1]OUT_TransportEnergyCons!$C$4:$C$10000)*1,ISNUMBER(SEARCH("T_C*pev*GSL*s2",[1]OUT_TransportEnergyCons!$A$4:$A$10000))*1,[1]OUT_TransportEnergyCons!E$4:E$10000)</f>
        <v>1.61656430913918E-5</v>
      </c>
      <c r="H2116" s="1" cm="1">
        <f t="array" ref="H2116">SUMPRODUCT(("var_ncap"=[1]OUT_TransportEnergyCons!$B$4:$B$10000)*1,("-"=[1]OUT_TransportEnergyCons!$C$4:$C$10000)*1,ISNUMBER(SEARCH("T_C*pev*GSL*s2",[1]OUT_TransportEnergyCons!$A$4:$A$10000))*1,[1]OUT_TransportEnergyCons!F$4:F$10000)</f>
        <v>5.6099094552313298E-5</v>
      </c>
      <c r="I2116" s="1" cm="1">
        <f t="array" ref="I2116">SUMPRODUCT(("var_ncap"=[1]OUT_TransportEnergyCons!$B$4:$B$10000)*1,("-"=[1]OUT_TransportEnergyCons!$C$4:$C$10000)*1,ISNUMBER(SEARCH("T_C*pev*GSL*s2",[1]OUT_TransportEnergyCons!$A$4:$A$10000))*1,[1]OUT_TransportEnergyCons!G$4:G$10000)</f>
        <v>1.32452921915982E-4</v>
      </c>
      <c r="J2116" s="1" cm="1">
        <f t="array" ref="J2116">SUMPRODUCT(("var_ncap"=[1]OUT_TransportEnergyCons!$B$4:$B$10000)*1,("-"=[1]OUT_TransportEnergyCons!$C$4:$C$10000)*1,ISNUMBER(SEARCH("T_C*pev*GSL*s2",[1]OUT_TransportEnergyCons!$A$4:$A$10000))*1,[1]OUT_TransportEnergyCons!H$4:H$10000)</f>
        <v>0</v>
      </c>
      <c r="K2116" s="1" cm="1">
        <f t="array" ref="K2116">SUMPRODUCT(("var_ncap"=[1]OUT_TransportEnergyCons!$B$4:$B$10000)*1,("-"=[1]OUT_TransportEnergyCons!$C$4:$C$10000)*1,ISNUMBER(SEARCH("T_C*pev*GSL*s2",[1]OUT_TransportEnergyCons!$A$4:$A$10000))*1,[1]OUT_TransportEnergyCons!I$4:I$10000)</f>
        <v>0</v>
      </c>
    </row>
    <row r="2117" spans="2:11" x14ac:dyDescent="0.35">
      <c r="B2117" s="5" t="str">
        <f t="shared" si="1368"/>
        <v>SPS1</v>
      </c>
      <c r="C2117" s="5" t="str">
        <f t="shared" si="1369"/>
        <v>CH</v>
      </c>
      <c r="D2117" t="s">
        <v>2252</v>
      </c>
      <c r="E2117" t="str">
        <f t="shared" si="1370"/>
        <v>Million</v>
      </c>
      <c r="F2117" s="1" cm="1">
        <f t="array" ref="F2117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17" s="1" cm="1">
        <f t="array" ref="G2117">SUMPRODUCT(("var_ncap"=[1]OUT_TransportEnergyCons!$B$4:$B$10000)*1,("-"=[1]OUT_TransportEnergyCons!$C$4:$C$10000)*1,ISNUMBER(SEARCH("T_C*pev*GSL*s3",[1]OUT_TransportEnergyCons!$A$4:$A$10000))*1,[1]OUT_TransportEnergyCons!E$4:E$10000)</f>
        <v>3.6395574038423598E-2</v>
      </c>
      <c r="H2117" s="1" cm="1">
        <f t="array" ref="H2117">SUMPRODUCT(("var_ncap"=[1]OUT_TransportEnergyCons!$B$4:$B$10000)*1,("-"=[1]OUT_TransportEnergyCons!$C$4:$C$10000)*1,ISNUMBER(SEARCH("T_C*pev*GSL*s3",[1]OUT_TransportEnergyCons!$A$4:$A$10000))*1,[1]OUT_TransportEnergyCons!F$4:F$10000)</f>
        <v>3.9438643091164599E-2</v>
      </c>
      <c r="I2117" s="1" cm="1">
        <f t="array" ref="I2117">SUMPRODUCT(("var_ncap"=[1]OUT_TransportEnergyCons!$B$4:$B$10000)*1,("-"=[1]OUT_TransportEnergyCons!$C$4:$C$10000)*1,ISNUMBER(SEARCH("T_C*pev*GSL*s3",[1]OUT_TransportEnergyCons!$A$4:$A$10000))*1,[1]OUT_TransportEnergyCons!G$4:G$10000)</f>
        <v>0.31109347487466199</v>
      </c>
      <c r="J2117" s="1" cm="1">
        <f t="array" ref="J2117">SUMPRODUCT(("var_ncap"=[1]OUT_TransportEnergyCons!$B$4:$B$10000)*1,("-"=[1]OUT_TransportEnergyCons!$C$4:$C$10000)*1,ISNUMBER(SEARCH("T_C*pev*GSL*s3",[1]OUT_TransportEnergyCons!$A$4:$A$10000))*1,[1]OUT_TransportEnergyCons!H$4:H$10000)</f>
        <v>0</v>
      </c>
      <c r="K2117" s="1" cm="1">
        <f t="array" ref="K2117">SUMPRODUCT(("var_ncap"=[1]OUT_TransportEnergyCons!$B$4:$B$10000)*1,("-"=[1]OUT_TransportEnergyCons!$C$4:$C$10000)*1,ISNUMBER(SEARCH("T_C*pev*GSL*s3",[1]OUT_TransportEnergyCons!$A$4:$A$10000))*1,[1]OUT_TransportEnergyCons!I$4:I$10000)</f>
        <v>0</v>
      </c>
    </row>
    <row r="2118" spans="2:11" x14ac:dyDescent="0.35">
      <c r="B2118" s="5" t="str">
        <f t="shared" si="1368"/>
        <v>SPS1</v>
      </c>
      <c r="C2118" s="5" t="str">
        <f t="shared" si="1369"/>
        <v>CH</v>
      </c>
      <c r="D2118" t="s">
        <v>2253</v>
      </c>
      <c r="E2118" t="str">
        <f t="shared" si="1370"/>
        <v>Million</v>
      </c>
      <c r="F2118" s="1" cm="1">
        <f t="array" ref="F2118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18" s="1" cm="1">
        <f t="array" ref="G2118">SUMPRODUCT(("var_ncap"=[1]OUT_TransportEnergyCons!$B$4:$B$10000)*1,("-"=[1]OUT_TransportEnergyCons!$C$4:$C$10000)*1,ISNUMBER(SEARCH("T_C*pev*GSL*s4",[1]OUT_TransportEnergyCons!$A$4:$A$10000))*1,[1]OUT_TransportEnergyCons!E$4:E$10000)</f>
        <v>9.5663085686241504E-5</v>
      </c>
      <c r="H2118" s="1" cm="1">
        <f t="array" ref="H2118">SUMPRODUCT(("var_ncap"=[1]OUT_TransportEnergyCons!$B$4:$B$10000)*1,("-"=[1]OUT_TransportEnergyCons!$C$4:$C$10000)*1,ISNUMBER(SEARCH("T_C*pev*GSL*s4",[1]OUT_TransportEnergyCons!$A$4:$A$10000))*1,[1]OUT_TransportEnergyCons!F$4:F$10000)</f>
        <v>8.7472052835567605E-5</v>
      </c>
      <c r="I2118" s="1" cm="1">
        <f t="array" ref="I2118">SUMPRODUCT(("var_ncap"=[1]OUT_TransportEnergyCons!$B$4:$B$10000)*1,("-"=[1]OUT_TransportEnergyCons!$C$4:$C$10000)*1,ISNUMBER(SEARCH("T_C*pev*GSL*s4",[1]OUT_TransportEnergyCons!$A$4:$A$10000))*1,[1]OUT_TransportEnergyCons!G$4:G$10000)</f>
        <v>4.5972283877265802E-4</v>
      </c>
      <c r="J2118" s="1" cm="1">
        <f t="array" ref="J2118">SUMPRODUCT(("var_ncap"=[1]OUT_TransportEnergyCons!$B$4:$B$10000)*1,("-"=[1]OUT_TransportEnergyCons!$C$4:$C$10000)*1,ISNUMBER(SEARCH("T_C*pev*GSL*s4",[1]OUT_TransportEnergyCons!$A$4:$A$10000))*1,[1]OUT_TransportEnergyCons!H$4:H$10000)</f>
        <v>0</v>
      </c>
      <c r="K2118" s="1" cm="1">
        <f t="array" ref="K2118">SUMPRODUCT(("var_ncap"=[1]OUT_TransportEnergyCons!$B$4:$B$10000)*1,("-"=[1]OUT_TransportEnergyCons!$C$4:$C$10000)*1,ISNUMBER(SEARCH("T_C*pev*GSL*s4",[1]OUT_TransportEnergyCons!$A$4:$A$10000))*1,[1]OUT_TransportEnergyCons!I$4:I$10000)</f>
        <v>0</v>
      </c>
    </row>
    <row r="2119" spans="2:11" x14ac:dyDescent="0.35">
      <c r="B2119" s="5" t="str">
        <f t="shared" si="1368"/>
        <v>SPS1</v>
      </c>
      <c r="C2119" s="5" t="str">
        <f t="shared" si="1369"/>
        <v>CH</v>
      </c>
      <c r="D2119" t="s">
        <v>2254</v>
      </c>
      <c r="E2119" t="str">
        <f t="shared" si="1370"/>
        <v>Million</v>
      </c>
      <c r="F2119" s="1" cm="1">
        <f t="array" ref="F2119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19" s="1" cm="1">
        <f t="array" ref="G2119">SUMPRODUCT(("var_ncap"=[1]OUT_TransportEnergyCons!$B$4:$B$10000)*1,("-"=[1]OUT_TransportEnergyCons!$C$4:$C$10000)*1,ISNUMBER(SEARCH("T_C*pev*dsl*s1",[1]OUT_TransportEnergyCons!$A$4:$A$10000))*1,[1]OUT_TransportEnergyCons!E$4:E$10000)</f>
        <v>3.2726096715188102E-5</v>
      </c>
      <c r="H2119" s="1" cm="1">
        <f t="array" ref="H2119">SUMPRODUCT(("var_ncap"=[1]OUT_TransportEnergyCons!$B$4:$B$10000)*1,("-"=[1]OUT_TransportEnergyCons!$C$4:$C$10000)*1,ISNUMBER(SEARCH("T_C*pev*dsl*s1",[1]OUT_TransportEnergyCons!$A$4:$A$10000))*1,[1]OUT_TransportEnergyCons!F$4:F$10000)</f>
        <v>3.6789837075455998E-5</v>
      </c>
      <c r="I2119" s="1" cm="1">
        <f t="array" ref="I2119">SUMPRODUCT(("var_ncap"=[1]OUT_TransportEnergyCons!$B$4:$B$10000)*1,("-"=[1]OUT_TransportEnergyCons!$C$4:$C$10000)*1,ISNUMBER(SEARCH("T_C*pev*dsl*s1",[1]OUT_TransportEnergyCons!$A$4:$A$10000))*1,[1]OUT_TransportEnergyCons!G$4:G$10000)</f>
        <v>4.0243813235242501E-5</v>
      </c>
      <c r="J2119" s="1" cm="1">
        <f t="array" ref="J2119">SUMPRODUCT(("var_ncap"=[1]OUT_TransportEnergyCons!$B$4:$B$10000)*1,("-"=[1]OUT_TransportEnergyCons!$C$4:$C$10000)*1,ISNUMBER(SEARCH("T_C*pev*dsl*s1",[1]OUT_TransportEnergyCons!$A$4:$A$10000))*1,[1]OUT_TransportEnergyCons!H$4:H$10000)</f>
        <v>0</v>
      </c>
      <c r="K2119" s="1" cm="1">
        <f t="array" ref="K2119">SUMPRODUCT(("var_ncap"=[1]OUT_TransportEnergyCons!$B$4:$B$10000)*1,("-"=[1]OUT_TransportEnergyCons!$C$4:$C$10000)*1,ISNUMBER(SEARCH("T_C*pev*dsl*s1",[1]OUT_TransportEnergyCons!$A$4:$A$10000))*1,[1]OUT_TransportEnergyCons!I$4:I$10000)</f>
        <v>0</v>
      </c>
    </row>
    <row r="2120" spans="2:11" x14ac:dyDescent="0.35">
      <c r="B2120" s="5" t="str">
        <f t="shared" si="1368"/>
        <v>SPS1</v>
      </c>
      <c r="C2120" s="5" t="str">
        <f t="shared" si="1369"/>
        <v>CH</v>
      </c>
      <c r="D2120" t="s">
        <v>2255</v>
      </c>
      <c r="E2120" t="str">
        <f t="shared" si="1370"/>
        <v>Million</v>
      </c>
      <c r="F2120" s="1" cm="1">
        <f t="array" ref="F2120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SUMPRODUCT(("var_ncap"=[1]OUT_TransportEnergyCons!$B$4:$B$10000)*1,("-"=[1]OUT_TransportEnergyCons!$C$4:$C$10000)*1,ISNUMBER(SEARCH("T_C*pev*dsl*s2",[1]OUT_TransportEnergyCons!$A$4:$A$10000))*1,[1]OUT_TransportEnergyCons!E$4:E$10000)</f>
        <v>2.03700890494057E-5</v>
      </c>
      <c r="H2120" s="1" cm="1">
        <f t="array" ref="H2120">SUMPRODUCT(("var_ncap"=[1]OUT_TransportEnergyCons!$B$4:$B$10000)*1,("-"=[1]OUT_TransportEnergyCons!$C$4:$C$10000)*1,ISNUMBER(SEARCH("T_C*pev*dsl*s2",[1]OUT_TransportEnergyCons!$A$4:$A$10000))*1,[1]OUT_TransportEnergyCons!F$4:F$10000)</f>
        <v>6.9597363059939905E-5</v>
      </c>
      <c r="I2120" s="1" cm="1">
        <f t="array" ref="I2120">SUMPRODUCT(("var_ncap"=[1]OUT_TransportEnergyCons!$B$4:$B$10000)*1,("-"=[1]OUT_TransportEnergyCons!$C$4:$C$10000)*1,ISNUMBER(SEARCH("T_C*pev*dsl*s2",[1]OUT_TransportEnergyCons!$A$4:$A$10000))*1,[1]OUT_TransportEnergyCons!G$4:G$10000)</f>
        <v>1.8330912893078501E-4</v>
      </c>
      <c r="J2120" s="1" cm="1">
        <f t="array" ref="J2120">SUMPRODUCT(("var_ncap"=[1]OUT_TransportEnergyCons!$B$4:$B$10000)*1,("-"=[1]OUT_TransportEnergyCons!$C$4:$C$10000)*1,ISNUMBER(SEARCH("T_C*pev*dsl*s2",[1]OUT_TransportEnergyCons!$A$4:$A$10000))*1,[1]OUT_TransportEnergyCons!H$4:H$10000)</f>
        <v>0</v>
      </c>
      <c r="K2120" s="1" cm="1">
        <f t="array" ref="K2120">SUMPRODUCT(("var_ncap"=[1]OUT_TransportEnergyCons!$B$4:$B$10000)*1,("-"=[1]OUT_TransportEnergyCons!$C$4:$C$10000)*1,ISNUMBER(SEARCH("T_C*pev*dsl*s2",[1]OUT_TransportEnergyCons!$A$4:$A$10000))*1,[1]OUT_TransportEnergyCons!I$4:I$10000)</f>
        <v>0</v>
      </c>
    </row>
    <row r="2121" spans="2:11" x14ac:dyDescent="0.35">
      <c r="B2121" s="5" t="str">
        <f t="shared" si="1368"/>
        <v>SPS1</v>
      </c>
      <c r="C2121" s="5" t="str">
        <f t="shared" si="1369"/>
        <v>CH</v>
      </c>
      <c r="D2121" t="s">
        <v>2256</v>
      </c>
      <c r="E2121" t="str">
        <f t="shared" si="1370"/>
        <v>Million</v>
      </c>
      <c r="F2121" s="1" cm="1">
        <f t="array" ref="F2121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SUMPRODUCT(("var_ncap"=[1]OUT_TransportEnergyCons!$B$4:$B$10000)*1,("-"=[1]OUT_TransportEnergyCons!$C$4:$C$10000)*1,ISNUMBER(SEARCH("T_C*pev*dsl*s3",[1]OUT_TransportEnergyCons!$A$4:$A$10000))*1,[1]OUT_TransportEnergyCons!E$4:E$10000)</f>
        <v>1.64415192809309E-4</v>
      </c>
      <c r="H2121" s="1" cm="1">
        <f t="array" ref="H2121">SUMPRODUCT(("var_ncap"=[1]OUT_TransportEnergyCons!$B$4:$B$10000)*1,("-"=[1]OUT_TransportEnergyCons!$C$4:$C$10000)*1,ISNUMBER(SEARCH("T_C*pev*dsl*s3",[1]OUT_TransportEnergyCons!$A$4:$A$10000))*1,[1]OUT_TransportEnergyCons!F$4:F$10000)</f>
        <v>6.8541460432422693E-2</v>
      </c>
      <c r="I2121" s="1" cm="1">
        <f t="array" ref="I2121">SUMPRODUCT(("var_ncap"=[1]OUT_TransportEnergyCons!$B$4:$B$10000)*1,("-"=[1]OUT_TransportEnergyCons!$C$4:$C$10000)*1,ISNUMBER(SEARCH("T_C*pev*dsl*s3",[1]OUT_TransportEnergyCons!$A$4:$A$10000))*1,[1]OUT_TransportEnergyCons!G$4:G$10000)</f>
        <v>0.21408965283849199</v>
      </c>
      <c r="J2121" s="1" cm="1">
        <f t="array" ref="J2121">SUMPRODUCT(("var_ncap"=[1]OUT_TransportEnergyCons!$B$4:$B$10000)*1,("-"=[1]OUT_TransportEnergyCons!$C$4:$C$10000)*1,ISNUMBER(SEARCH("T_C*pev*dsl*s3",[1]OUT_TransportEnergyCons!$A$4:$A$10000))*1,[1]OUT_TransportEnergyCons!H$4:H$10000)</f>
        <v>0</v>
      </c>
      <c r="K2121" s="1" cm="1">
        <f t="array" ref="K2121">SUMPRODUCT(("var_ncap"=[1]OUT_TransportEnergyCons!$B$4:$B$10000)*1,("-"=[1]OUT_TransportEnergyCons!$C$4:$C$10000)*1,ISNUMBER(SEARCH("T_C*pev*dsl*s3",[1]OUT_TransportEnergyCons!$A$4:$A$10000))*1,[1]OUT_TransportEnergyCons!I$4:I$10000)</f>
        <v>0</v>
      </c>
    </row>
    <row r="2122" spans="2:11" x14ac:dyDescent="0.35">
      <c r="B2122" s="5" t="str">
        <f t="shared" si="1368"/>
        <v>SPS1</v>
      </c>
      <c r="C2122" s="5" t="str">
        <f t="shared" si="1369"/>
        <v>CH</v>
      </c>
      <c r="D2122" t="s">
        <v>2257</v>
      </c>
      <c r="E2122" t="str">
        <f t="shared" si="1370"/>
        <v>Million</v>
      </c>
      <c r="F2122" s="1" cm="1">
        <f t="array" ref="F2122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SUMPRODUCT(("var_ncap"=[1]OUT_TransportEnergyCons!$B$4:$B$10000)*1,("-"=[1]OUT_TransportEnergyCons!$C$4:$C$10000)*1,ISNUMBER(SEARCH("T_C*pev*dsl*s4",[1]OUT_TransportEnergyCons!$A$4:$A$10000))*1,[1]OUT_TransportEnergyCons!E$4:E$10000)</f>
        <v>7.0823336981981202E-5</v>
      </c>
      <c r="H2122" s="1" cm="1">
        <f t="array" ref="H2122">SUMPRODUCT(("var_ncap"=[1]OUT_TransportEnergyCons!$B$4:$B$10000)*1,("-"=[1]OUT_TransportEnergyCons!$C$4:$C$10000)*1,ISNUMBER(SEARCH("T_C*pev*dsl*s4",[1]OUT_TransportEnergyCons!$A$4:$A$10000))*1,[1]OUT_TransportEnergyCons!F$4:F$10000)</f>
        <v>9.7799015175884302E-5</v>
      </c>
      <c r="I2122" s="1" cm="1">
        <f t="array" ref="I2122">SUMPRODUCT(("var_ncap"=[1]OUT_TransportEnergyCons!$B$4:$B$10000)*1,("-"=[1]OUT_TransportEnergyCons!$C$4:$C$10000)*1,ISNUMBER(SEARCH("T_C*pev*dsl*s4",[1]OUT_TransportEnergyCons!$A$4:$A$10000))*1,[1]OUT_TransportEnergyCons!G$4:G$10000)</f>
        <v>1.03762064596019E-3</v>
      </c>
      <c r="J2122" s="1" cm="1">
        <f t="array" ref="J2122">SUMPRODUCT(("var_ncap"=[1]OUT_TransportEnergyCons!$B$4:$B$10000)*1,("-"=[1]OUT_TransportEnergyCons!$C$4:$C$10000)*1,ISNUMBER(SEARCH("T_C*pev*dsl*s4",[1]OUT_TransportEnergyCons!$A$4:$A$10000))*1,[1]OUT_TransportEnergyCons!H$4:H$10000)</f>
        <v>0</v>
      </c>
      <c r="K2122" s="1" cm="1">
        <f t="array" ref="K2122">SUMPRODUCT(("var_ncap"=[1]OUT_TransportEnergyCons!$B$4:$B$10000)*1,("-"=[1]OUT_TransportEnergyCons!$C$4:$C$10000)*1,ISNUMBER(SEARCH("T_C*pev*dsl*s4",[1]OUT_TransportEnergyCons!$A$4:$A$10000))*1,[1]OUT_TransportEnergyCons!I$4:I$10000)</f>
        <v>0</v>
      </c>
    </row>
    <row r="2123" spans="2:11" x14ac:dyDescent="0.35">
      <c r="B2123" s="5" t="str">
        <f t="shared" si="1368"/>
        <v>SPS1</v>
      </c>
      <c r="C2123" s="5" t="str">
        <f t="shared" si="1369"/>
        <v>CH</v>
      </c>
      <c r="D2123" t="s">
        <v>2258</v>
      </c>
      <c r="E2123" t="str">
        <f t="shared" si="1370"/>
        <v>Million</v>
      </c>
      <c r="F2123" s="1" cm="1">
        <f t="array" ref="F2123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SUMPRODUCT(("var_ncap"=[1]OUT_TransportEnergyCons!$B$4:$B$10000)*1,("-"=[1]OUT_TransportEnergyCons!$C$4:$C$10000)*1,ISNUMBER(SEARCH("T_C*h2o*s1",[1]OUT_TransportEnergyCons!$A$4:$A$10000))*1,[1]OUT_TransportEnergyCons!E$4:E$10000)</f>
        <v>1.21871356999328E-6</v>
      </c>
      <c r="H2123" s="1" cm="1">
        <f t="array" ref="H2123">SUMPRODUCT(("var_ncap"=[1]OUT_TransportEnergyCons!$B$4:$B$10000)*1,("-"=[1]OUT_TransportEnergyCons!$C$4:$C$10000)*1,ISNUMBER(SEARCH("T_C*h2o*s1",[1]OUT_TransportEnergyCons!$A$4:$A$10000))*1,[1]OUT_TransportEnergyCons!F$4:F$10000)</f>
        <v>9.6251401012906209E-7</v>
      </c>
      <c r="I2123" s="1" cm="1">
        <f t="array" ref="I2123">SUMPRODUCT(("var_ncap"=[1]OUT_TransportEnergyCons!$B$4:$B$10000)*1,("-"=[1]OUT_TransportEnergyCons!$C$4:$C$10000)*1,ISNUMBER(SEARCH("T_C*h2o*s1",[1]OUT_TransportEnergyCons!$A$4:$A$10000))*1,[1]OUT_TransportEnergyCons!G$4:G$10000)</f>
        <v>4.2796563414311699E-7</v>
      </c>
      <c r="J2123" s="1" cm="1">
        <f t="array" ref="J2123">SUMPRODUCT(("var_ncap"=[1]OUT_TransportEnergyCons!$B$4:$B$10000)*1,("-"=[1]OUT_TransportEnergyCons!$C$4:$C$10000)*1,ISNUMBER(SEARCH("T_C*h2o*s1",[1]OUT_TransportEnergyCons!$A$4:$A$10000))*1,[1]OUT_TransportEnergyCons!H$4:H$10000)</f>
        <v>1.0148817598648101E-6</v>
      </c>
      <c r="K2123" s="1" cm="1">
        <f t="array" ref="K2123">SUMPRODUCT(("var_ncap"=[1]OUT_TransportEnergyCons!$B$4:$B$10000)*1,("-"=[1]OUT_TransportEnergyCons!$C$4:$C$10000)*1,ISNUMBER(SEARCH("T_C*h2o*s1",[1]OUT_TransportEnergyCons!$A$4:$A$10000))*1,[1]OUT_TransportEnergyCons!I$4:I$10000)</f>
        <v>1.03333092124289E-6</v>
      </c>
    </row>
    <row r="2124" spans="2:11" x14ac:dyDescent="0.35">
      <c r="B2124" s="5" t="str">
        <f t="shared" si="1368"/>
        <v>SPS1</v>
      </c>
      <c r="C2124" s="5" t="str">
        <f t="shared" si="1369"/>
        <v>CH</v>
      </c>
      <c r="D2124" t="s">
        <v>2259</v>
      </c>
      <c r="E2124" t="str">
        <f t="shared" si="1370"/>
        <v>Million</v>
      </c>
      <c r="F2124" s="1" cm="1">
        <f t="array" ref="F2124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SUMPRODUCT(("var_ncap"=[1]OUT_TransportEnergyCons!$B$4:$B$10000)*1,("-"=[1]OUT_TransportEnergyCons!$C$4:$C$10000)*1,ISNUMBER(SEARCH("T_C*h2o*s2",[1]OUT_TransportEnergyCons!$A$4:$A$10000))*1,[1]OUT_TransportEnergyCons!E$4:E$10000)</f>
        <v>6.9747723937668298E-7</v>
      </c>
      <c r="H2124" s="1" cm="1">
        <f t="array" ref="H2124">SUMPRODUCT(("var_ncap"=[1]OUT_TransportEnergyCons!$B$4:$B$10000)*1,("-"=[1]OUT_TransportEnergyCons!$C$4:$C$10000)*1,ISNUMBER(SEARCH("T_C*h2o*s2",[1]OUT_TransportEnergyCons!$A$4:$A$10000))*1,[1]OUT_TransportEnergyCons!F$4:F$10000)</f>
        <v>6.1658830011011605E-7</v>
      </c>
      <c r="I2124" s="1" cm="1">
        <f t="array" ref="I2124">SUMPRODUCT(("var_ncap"=[1]OUT_TransportEnergyCons!$B$4:$B$10000)*1,("-"=[1]OUT_TransportEnergyCons!$C$4:$C$10000)*1,ISNUMBER(SEARCH("T_C*h2o*s2",[1]OUT_TransportEnergyCons!$A$4:$A$10000))*1,[1]OUT_TransportEnergyCons!G$4:G$10000)</f>
        <v>3.7883500925392398E-7</v>
      </c>
      <c r="J2124" s="1" cm="1">
        <f t="array" ref="J2124">SUMPRODUCT(("var_ncap"=[1]OUT_TransportEnergyCons!$B$4:$B$10000)*1,("-"=[1]OUT_TransportEnergyCons!$C$4:$C$10000)*1,ISNUMBER(SEARCH("T_C*h2o*s2",[1]OUT_TransportEnergyCons!$A$4:$A$10000))*1,[1]OUT_TransportEnergyCons!H$4:H$10000)</f>
        <v>8.5337855340439902E-7</v>
      </c>
      <c r="K2124" s="1" cm="1">
        <f t="array" ref="K2124">SUMPRODUCT(("var_ncap"=[1]OUT_TransportEnergyCons!$B$4:$B$10000)*1,("-"=[1]OUT_TransportEnergyCons!$C$4:$C$10000)*1,ISNUMBER(SEARCH("T_C*h2o*s2",[1]OUT_TransportEnergyCons!$A$4:$A$10000))*1,[1]OUT_TransportEnergyCons!I$4:I$10000)</f>
        <v>1.04609537923708E-6</v>
      </c>
    </row>
    <row r="2125" spans="2:11" x14ac:dyDescent="0.35">
      <c r="B2125" s="5" t="str">
        <f t="shared" si="1368"/>
        <v>SPS1</v>
      </c>
      <c r="C2125" s="5" t="str">
        <f t="shared" si="1369"/>
        <v>CH</v>
      </c>
      <c r="D2125" t="s">
        <v>2260</v>
      </c>
      <c r="E2125" t="str">
        <f t="shared" si="1370"/>
        <v>Million</v>
      </c>
      <c r="F2125" s="1" cm="1">
        <f t="array" ref="F2125">SUMPRODUCT(("var_ncap"=[1]OUT_TransportEnergyCons!$B$4:$B$10000)*1,("-"=[1]OUT_TransportEnergyCons!$C$4:$C$10000)*1,ISNUMBER(SEARCH("T_C*h2o*s3",[1]OUT_TransportEnergyCons!$A$4:$A$10000))*1,[1]OUT_TransportEnergyCons!D$4:D$10000)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SUMPRODUCT(("var_ncap"=[1]OUT_TransportEnergyCons!$B$4:$B$10000)*1,("-"=[1]OUT_TransportEnergyCons!$C$4:$C$10000)*1,ISNUMBER(SEARCH("T_C*h2o*s3",[1]OUT_TransportEnergyCons!$A$4:$A$10000))*1,[1]OUT_TransportEnergyCons!E$4:E$10000)</f>
        <v>5.6537383200195703E-7</v>
      </c>
      <c r="H2125" s="1" cm="1">
        <f t="array" ref="H2125">SUMPRODUCT(("var_ncap"=[1]OUT_TransportEnergyCons!$B$4:$B$10000)*1,("-"=[1]OUT_TransportEnergyCons!$C$4:$C$10000)*1,ISNUMBER(SEARCH("T_C*h2o*s3",[1]OUT_TransportEnergyCons!$A$4:$A$10000))*1,[1]OUT_TransportEnergyCons!F$4:F$10000)</f>
        <v>4.3983698368325501E-7</v>
      </c>
      <c r="I2125" s="1" cm="1">
        <f t="array" ref="I2125">SUMPRODUCT(("var_ncap"=[1]OUT_TransportEnergyCons!$B$4:$B$10000)*1,("-"=[1]OUT_TransportEnergyCons!$C$4:$C$10000)*1,ISNUMBER(SEARCH("T_C*h2o*s3",[1]OUT_TransportEnergyCons!$A$4:$A$10000))*1,[1]OUT_TransportEnergyCons!G$4:G$10000)</f>
        <v>2.91622570712664E-7</v>
      </c>
      <c r="J2125" s="1" cm="1">
        <f t="array" ref="J2125">SUMPRODUCT(("var_ncap"=[1]OUT_TransportEnergyCons!$B$4:$B$10000)*1,("-"=[1]OUT_TransportEnergyCons!$C$4:$C$10000)*1,ISNUMBER(SEARCH("T_C*h2o*s3",[1]OUT_TransportEnergyCons!$A$4:$A$10000))*1,[1]OUT_TransportEnergyCons!H$4:H$10000)</f>
        <v>7.2467923918047095E-7</v>
      </c>
      <c r="K2125" s="1" cm="1">
        <f t="array" ref="K2125">SUMPRODUCT(("var_ncap"=[1]OUT_TransportEnergyCons!$B$4:$B$10000)*1,("-"=[1]OUT_TransportEnergyCons!$C$4:$C$10000)*1,ISNUMBER(SEARCH("T_C*h2o*s3",[1]OUT_TransportEnergyCons!$A$4:$A$10000))*1,[1]OUT_TransportEnergyCons!I$4:I$10000)</f>
        <v>1.0713819400449399E-6</v>
      </c>
    </row>
    <row r="2126" spans="2:11" x14ac:dyDescent="0.35">
      <c r="B2126" s="5" t="str">
        <f t="shared" si="1368"/>
        <v>SPS1</v>
      </c>
      <c r="C2126" s="5" t="str">
        <f t="shared" si="1369"/>
        <v>CH</v>
      </c>
      <c r="D2126" t="s">
        <v>2261</v>
      </c>
      <c r="E2126" t="str">
        <f t="shared" si="1370"/>
        <v>Million</v>
      </c>
      <c r="F2126" s="1" cm="1">
        <f t="array" ref="F2126">SUMPRODUCT(("var_ncap"=[1]OUT_TransportEnergyCons!$B$4:$B$10000)*1,("-"=[1]OUT_TransportEnergyCons!$C$4:$C$10000)*1,ISNUMBER(SEARCH("T_C*h2o*s4",[1]OUT_TransportEnergyCons!$A$4:$A$10000))*1,[1]OUT_TransportEnergyCons!D$4:D$10000)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SUMPRODUCT(("var_ncap"=[1]OUT_TransportEnergyCons!$B$4:$B$10000)*1,("-"=[1]OUT_TransportEnergyCons!$C$4:$C$10000)*1,ISNUMBER(SEARCH("T_C*h2o*s4",[1]OUT_TransportEnergyCons!$A$4:$A$10000))*1,[1]OUT_TransportEnergyCons!E$4:E$10000)</f>
        <v>7.7153818912427401E-7</v>
      </c>
      <c r="H2126" s="1" cm="1">
        <f t="array" ref="H2126">SUMPRODUCT(("var_ncap"=[1]OUT_TransportEnergyCons!$B$4:$B$10000)*1,("-"=[1]OUT_TransportEnergyCons!$C$4:$C$10000)*1,ISNUMBER(SEARCH("T_C*h2o*s4",[1]OUT_TransportEnergyCons!$A$4:$A$10000))*1,[1]OUT_TransportEnergyCons!F$4:F$10000)</f>
        <v>5.6813800132213902E-7</v>
      </c>
      <c r="I2126" s="1" cm="1">
        <f t="array" ref="I2126">SUMPRODUCT(("var_ncap"=[1]OUT_TransportEnergyCons!$B$4:$B$10000)*1,("-"=[1]OUT_TransportEnergyCons!$C$4:$C$10000)*1,ISNUMBER(SEARCH("T_C*h2o*s4",[1]OUT_TransportEnergyCons!$A$4:$A$10000))*1,[1]OUT_TransportEnergyCons!G$4:G$10000)</f>
        <v>3.6746281621611303E-7</v>
      </c>
      <c r="J2126" s="1" cm="1">
        <f t="array" ref="J2126">SUMPRODUCT(("var_ncap"=[1]OUT_TransportEnergyCons!$B$4:$B$10000)*1,("-"=[1]OUT_TransportEnergyCons!$C$4:$C$10000)*1,ISNUMBER(SEARCH("T_C*h2o*s4",[1]OUT_TransportEnergyCons!$A$4:$A$10000))*1,[1]OUT_TransportEnergyCons!H$4:H$10000)</f>
        <v>9.4831338520246401E-7</v>
      </c>
      <c r="K2126" s="1" cm="1">
        <f t="array" ref="K2126">SUMPRODUCT(("var_ncap"=[1]OUT_TransportEnergyCons!$B$4:$B$10000)*1,("-"=[1]OUT_TransportEnergyCons!$C$4:$C$10000)*1,ISNUMBER(SEARCH("T_C*h2o*s4",[1]OUT_TransportEnergyCons!$A$4:$A$10000))*1,[1]OUT_TransportEnergyCons!I$4:I$10000)</f>
        <v>1.4999471127998101E-6</v>
      </c>
    </row>
    <row r="2127" spans="2:11" x14ac:dyDescent="0.35">
      <c r="B2127" s="5" t="str">
        <f t="shared" si="1368"/>
        <v>SPS1</v>
      </c>
      <c r="C2127" s="5" t="str">
        <f t="shared" si="1369"/>
        <v>CH</v>
      </c>
      <c r="D2127" t="s">
        <v>2262</v>
      </c>
      <c r="E2127" t="str">
        <f t="shared" si="1370"/>
        <v>Million</v>
      </c>
      <c r="F2127" s="1" cm="1">
        <f t="array" ref="F2127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27" s="1" cm="1">
        <f t="array" ref="H2127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27" s="1" cm="1">
        <f t="array" ref="I2127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27" s="1" cm="1">
        <f t="array" ref="J2127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27" s="1" cm="1">
        <f t="array" ref="K2127">SUMPRODUCT(("var_ncap"=[1]OUT_TransportEnergyCons!$B$4:$B$10000)*1,("-"=[1]OUT_TransportEnergyCons!$C$4:$C$10000)*1,ISNUMBER(SEARCH("T_C*hy*GSL*ext",[1]OUT_TransportEnergyCons!$A$4:$A$10000))*1,[1]OUT_TransportEnergyCons!I$4:I$10000)</f>
        <v>0</v>
      </c>
    </row>
    <row r="2128" spans="2:11" x14ac:dyDescent="0.35">
      <c r="B2128" s="5" t="str">
        <f t="shared" si="1368"/>
        <v>SPS1</v>
      </c>
      <c r="C2128" s="5" t="str">
        <f t="shared" si="1369"/>
        <v>CH</v>
      </c>
      <c r="D2128" t="s">
        <v>2263</v>
      </c>
      <c r="E2128" t="str">
        <f t="shared" si="1370"/>
        <v>Million</v>
      </c>
      <c r="F2128" s="1" cm="1">
        <f t="array" ref="F2128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SUMPRODUCT(("var_ncap"=[1]OUT_TransportEnergyCons!$B$4:$B$10000)*1,("-"=[1]OUT_TransportEnergyCons!$C$4:$C$10000)*1,ISNUMBER(SEARCH("T_C*hy*GSL*s1",[1]OUT_TransportEnergyCons!$A$4:$A$10000))*1,[1]OUT_TransportEnergyCons!E$4:E$10000)</f>
        <v>1.3676814452257718E-4</v>
      </c>
      <c r="H2128" s="1" cm="1">
        <f t="array" ref="H2128">SUMPRODUCT(("var_ncap"=[1]OUT_TransportEnergyCons!$B$4:$B$10000)*1,("-"=[1]OUT_TransportEnergyCons!$C$4:$C$10000)*1,ISNUMBER(SEARCH("T_C*hy*GSL*s1",[1]OUT_TransportEnergyCons!$A$4:$A$10000))*1,[1]OUT_TransportEnergyCons!F$4:F$10000)</f>
        <v>2.6979629261326201E-4</v>
      </c>
      <c r="I2128" s="1" cm="1">
        <f t="array" ref="I2128">SUMPRODUCT(("var_ncap"=[1]OUT_TransportEnergyCons!$B$4:$B$10000)*1,("-"=[1]OUT_TransportEnergyCons!$C$4:$C$10000)*1,ISNUMBER(SEARCH("T_C*hy*GSL*s1",[1]OUT_TransportEnergyCons!$A$4:$A$10000))*1,[1]OUT_TransportEnergyCons!G$4:G$10000)</f>
        <v>6.4936407564224397E-5</v>
      </c>
      <c r="J2128" s="1" cm="1">
        <f t="array" ref="J2128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28" s="1" cm="1">
        <f t="array" ref="K2128">SUMPRODUCT(("var_ncap"=[1]OUT_TransportEnergyCons!$B$4:$B$10000)*1,("-"=[1]OUT_TransportEnergyCons!$C$4:$C$10000)*1,ISNUMBER(SEARCH("T_C*hy*GSL*s1",[1]OUT_TransportEnergyCons!$A$4:$A$10000))*1,[1]OUT_TransportEnergyCons!I$4:I$10000)</f>
        <v>0</v>
      </c>
    </row>
    <row r="2129" spans="2:11" x14ac:dyDescent="0.35">
      <c r="B2129" s="5" t="str">
        <f t="shared" si="1368"/>
        <v>SPS1</v>
      </c>
      <c r="C2129" s="5" t="str">
        <f t="shared" si="1369"/>
        <v>CH</v>
      </c>
      <c r="D2129" t="s">
        <v>2264</v>
      </c>
      <c r="E2129" t="str">
        <f t="shared" si="1370"/>
        <v>Million</v>
      </c>
      <c r="F2129" s="1" cm="1">
        <f t="array" ref="F2129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SUMPRODUCT(("var_ncap"=[1]OUT_TransportEnergyCons!$B$4:$B$10000)*1,("-"=[1]OUT_TransportEnergyCons!$C$4:$C$10000)*1,ISNUMBER(SEARCH("T_C*hy*GSL*s2",[1]OUT_TransportEnergyCons!$A$4:$A$10000))*1,[1]OUT_TransportEnergyCons!E$4:E$10000)</f>
        <v>4.0707708248744104E-2</v>
      </c>
      <c r="H2129" s="1" cm="1">
        <f t="array" ref="H2129">SUMPRODUCT(("var_ncap"=[1]OUT_TransportEnergyCons!$B$4:$B$10000)*1,("-"=[1]OUT_TransportEnergyCons!$C$4:$C$10000)*1,ISNUMBER(SEARCH("T_C*hy*GSL*s2",[1]OUT_TransportEnergyCons!$A$4:$A$10000))*1,[1]OUT_TransportEnergyCons!F$4:F$10000)</f>
        <v>4.2013224670615149E-2</v>
      </c>
      <c r="I2129" s="1" cm="1">
        <f t="array" ref="I2129">SUMPRODUCT(("var_ncap"=[1]OUT_TransportEnergyCons!$B$4:$B$10000)*1,("-"=[1]OUT_TransportEnergyCons!$C$4:$C$10000)*1,ISNUMBER(SEARCH("T_C*hy*GSL*s2",[1]OUT_TransportEnergyCons!$A$4:$A$10000))*1,[1]OUT_TransportEnergyCons!G$4:G$10000)</f>
        <v>4.2238116551248102E-5</v>
      </c>
      <c r="J2129" s="1" cm="1">
        <f t="array" ref="J2129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29" s="1" cm="1">
        <f t="array" ref="K2129">SUMPRODUCT(("var_ncap"=[1]OUT_TransportEnergyCons!$B$4:$B$10000)*1,("-"=[1]OUT_TransportEnergyCons!$C$4:$C$10000)*1,ISNUMBER(SEARCH("T_C*hy*GSL*s2",[1]OUT_TransportEnergyCons!$A$4:$A$10000))*1,[1]OUT_TransportEnergyCons!I$4:I$10000)</f>
        <v>0</v>
      </c>
    </row>
    <row r="2130" spans="2:11" x14ac:dyDescent="0.35">
      <c r="B2130" s="5" t="str">
        <f t="shared" si="1368"/>
        <v>SPS1</v>
      </c>
      <c r="C2130" s="5" t="str">
        <f t="shared" si="1369"/>
        <v>CH</v>
      </c>
      <c r="D2130" t="s">
        <v>2265</v>
      </c>
      <c r="E2130" t="str">
        <f t="shared" si="1370"/>
        <v>Million</v>
      </c>
      <c r="F2130" s="1" cm="1">
        <f t="array" ref="F2130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SUMPRODUCT(("var_ncap"=[1]OUT_TransportEnergyCons!$B$4:$B$10000)*1,("-"=[1]OUT_TransportEnergyCons!$C$4:$C$10000)*1,ISNUMBER(SEARCH("T_C*hy*GSL*s3",[1]OUT_TransportEnergyCons!$A$4:$A$10000))*1,[1]OUT_TransportEnergyCons!E$4:E$10000)</f>
        <v>0.1846965490029206</v>
      </c>
      <c r="H2130" s="1" cm="1">
        <f t="array" ref="H2130">SUMPRODUCT(("var_ncap"=[1]OUT_TransportEnergyCons!$B$4:$B$10000)*1,("-"=[1]OUT_TransportEnergyCons!$C$4:$C$10000)*1,ISNUMBER(SEARCH("T_C*hy*GSL*s3",[1]OUT_TransportEnergyCons!$A$4:$A$10000))*1,[1]OUT_TransportEnergyCons!F$4:F$10000)</f>
        <v>3.89685659717228E-5</v>
      </c>
      <c r="I2130" s="1" cm="1">
        <f t="array" ref="I2130">SUMPRODUCT(("var_ncap"=[1]OUT_TransportEnergyCons!$B$4:$B$10000)*1,("-"=[1]OUT_TransportEnergyCons!$C$4:$C$10000)*1,ISNUMBER(SEARCH("T_C*hy*GSL*s3",[1]OUT_TransportEnergyCons!$A$4:$A$10000))*1,[1]OUT_TransportEnergyCons!G$4:G$10000)</f>
        <v>1.9341564645299839E-5</v>
      </c>
      <c r="J2130" s="1" cm="1">
        <f t="array" ref="J2130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0" s="1" cm="1">
        <f t="array" ref="K2130">SUMPRODUCT(("var_ncap"=[1]OUT_TransportEnergyCons!$B$4:$B$10000)*1,("-"=[1]OUT_TransportEnergyCons!$C$4:$C$10000)*1,ISNUMBER(SEARCH("T_C*hy*GSL*s3",[1]OUT_TransportEnergyCons!$A$4:$A$10000))*1,[1]OUT_TransportEnergyCons!I$4:I$10000)</f>
        <v>0</v>
      </c>
    </row>
    <row r="2131" spans="2:11" x14ac:dyDescent="0.35">
      <c r="B2131" s="5" t="str">
        <f t="shared" si="1368"/>
        <v>SPS1</v>
      </c>
      <c r="C2131" s="5" t="str">
        <f t="shared" si="1369"/>
        <v>CH</v>
      </c>
      <c r="D2131" t="s">
        <v>2266</v>
      </c>
      <c r="E2131" t="str">
        <f t="shared" si="1370"/>
        <v>Million</v>
      </c>
      <c r="F2131" s="1" cm="1">
        <f t="array" ref="F2131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SUMPRODUCT(("var_ncap"=[1]OUT_TransportEnergyCons!$B$4:$B$10000)*1,("-"=[1]OUT_TransportEnergyCons!$C$4:$C$10000)*1,ISNUMBER(SEARCH("T_C*hy*GSL*s4",[1]OUT_TransportEnergyCons!$A$4:$A$10000))*1,[1]OUT_TransportEnergyCons!E$4:E$10000)</f>
        <v>6.15913791273592E-5</v>
      </c>
      <c r="H2131" s="1" cm="1">
        <f t="array" ref="H2131">SUMPRODUCT(("var_ncap"=[1]OUT_TransportEnergyCons!$B$4:$B$10000)*1,("-"=[1]OUT_TransportEnergyCons!$C$4:$C$10000)*1,ISNUMBER(SEARCH("T_C*hy*GSL*s4",[1]OUT_TransportEnergyCons!$A$4:$A$10000))*1,[1]OUT_TransportEnergyCons!F$4:F$10000)</f>
        <v>5.26713372614067E-5</v>
      </c>
      <c r="I2131" s="1" cm="1">
        <f t="array" ref="I2131">SUMPRODUCT(("var_ncap"=[1]OUT_TransportEnergyCons!$B$4:$B$10000)*1,("-"=[1]OUT_TransportEnergyCons!$C$4:$C$10000)*1,ISNUMBER(SEARCH("T_C*hy*GSL*s4",[1]OUT_TransportEnergyCons!$A$4:$A$10000))*1,[1]OUT_TransportEnergyCons!G$4:G$10000)</f>
        <v>3.2850324617128702E-5</v>
      </c>
      <c r="J2131" s="1" cm="1">
        <f t="array" ref="J2131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1" s="1" cm="1">
        <f t="array" ref="K2131">SUMPRODUCT(("var_ncap"=[1]OUT_TransportEnergyCons!$B$4:$B$10000)*1,("-"=[1]OUT_TransportEnergyCons!$C$4:$C$10000)*1,ISNUMBER(SEARCH("T_C*hy*GSL*s4",[1]OUT_TransportEnergyCons!$A$4:$A$10000))*1,[1]OUT_TransportEnergyCons!I$4:I$10000)</f>
        <v>0</v>
      </c>
    </row>
    <row r="2132" spans="2:11" x14ac:dyDescent="0.35">
      <c r="B2132" s="5" t="str">
        <f t="shared" si="1368"/>
        <v>SPS1</v>
      </c>
      <c r="C2132" s="5" t="str">
        <f t="shared" si="1369"/>
        <v>CH</v>
      </c>
      <c r="D2132" t="s">
        <v>2267</v>
      </c>
      <c r="E2132" t="str">
        <f t="shared" si="1370"/>
        <v>Million</v>
      </c>
      <c r="F2132" s="1" cm="1">
        <f t="array" ref="F2132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SUMPRODUCT(("var_ncap"=[1]OUT_TransportEnergyCons!$B$4:$B$10000)*1,("-"=[1]OUT_TransportEnergyCons!$C$4:$C$10000)*1,ISNUMBER(SEARCH("T_C*ICE*GSL*ext",[1]OUT_TransportEnergyCons!$A$4:$A$10000))*1,[1]OUT_TransportEnergyCons!I$4:I$10000)</f>
        <v>0</v>
      </c>
    </row>
    <row r="2133" spans="2:11" x14ac:dyDescent="0.35">
      <c r="B2133" s="5" t="str">
        <f t="shared" si="1368"/>
        <v>SPS1</v>
      </c>
      <c r="C2133" s="5" t="str">
        <f t="shared" si="1369"/>
        <v>CH</v>
      </c>
      <c r="D2133" t="s">
        <v>2268</v>
      </c>
      <c r="E2133" t="str">
        <f t="shared" si="1370"/>
        <v>Million</v>
      </c>
      <c r="F2133" s="1" cm="1">
        <f t="array" ref="F2133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SUMPRODUCT(("var_ncap"=[1]OUT_TransportEnergyCons!$B$4:$B$10000)*1,("-"=[1]OUT_TransportEnergyCons!$C$4:$C$10000)*1,ISNUMBER(SEARCH("T_C*ICE*GSL*s1",[1]OUT_TransportEnergyCons!$A$4:$A$10000))*1,[1]OUT_TransportEnergyCons!E$4:E$10000)</f>
        <v>2.90743581790454E-5</v>
      </c>
      <c r="H2133" s="1" cm="1">
        <f t="array" ref="H2133">SUMPRODUCT(("var_ncap"=[1]OUT_TransportEnergyCons!$B$4:$B$10000)*1,("-"=[1]OUT_TransportEnergyCons!$C$4:$C$10000)*1,ISNUMBER(SEARCH("T_C*ICE*GSL*s1",[1]OUT_TransportEnergyCons!$A$4:$A$10000))*1,[1]OUT_TransportEnergyCons!F$4:F$10000)</f>
        <v>8.8665797642771799E-2</v>
      </c>
      <c r="I2133" s="1" cm="1">
        <f t="array" ref="I2133">SUMPRODUCT(("var_ncap"=[1]OUT_TransportEnergyCons!$B$4:$B$10000)*1,("-"=[1]OUT_TransportEnergyCons!$C$4:$C$10000)*1,ISNUMBER(SEARCH("T_C*ICE*GSL*s1",[1]OUT_TransportEnergyCons!$A$4:$A$10000))*1,[1]OUT_TransportEnergyCons!G$4:G$10000)</f>
        <v>7.3010962877158303E-5</v>
      </c>
      <c r="J2133" s="1" cm="1">
        <f t="array" ref="J2133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SUMPRODUCT(("var_ncap"=[1]OUT_TransportEnergyCons!$B$4:$B$10000)*1,("-"=[1]OUT_TransportEnergyCons!$C$4:$C$10000)*1,ISNUMBER(SEARCH("T_C*ICE*GSL*s1",[1]OUT_TransportEnergyCons!$A$4:$A$10000))*1,[1]OUT_TransportEnergyCons!I$4:I$10000)</f>
        <v>0</v>
      </c>
    </row>
    <row r="2134" spans="2:11" x14ac:dyDescent="0.35">
      <c r="B2134" s="5" t="str">
        <f t="shared" si="1368"/>
        <v>SPS1</v>
      </c>
      <c r="C2134" s="5" t="str">
        <f t="shared" si="1369"/>
        <v>CH</v>
      </c>
      <c r="D2134" t="s">
        <v>2269</v>
      </c>
      <c r="E2134" t="str">
        <f t="shared" si="1370"/>
        <v>Million</v>
      </c>
      <c r="F2134" s="1" cm="1">
        <f t="array" ref="F2134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SUMPRODUCT(("var_ncap"=[1]OUT_TransportEnergyCons!$B$4:$B$10000)*1,("-"=[1]OUT_TransportEnergyCons!$C$4:$C$10000)*1,ISNUMBER(SEARCH("T_C*ICE*GSL*s2",[1]OUT_TransportEnergyCons!$A$4:$A$10000))*1,[1]OUT_TransportEnergyCons!E$4:E$10000)</f>
        <v>1.8223117542540102E-5</v>
      </c>
      <c r="H2134" s="1" cm="1">
        <f t="array" ref="H2134">SUMPRODUCT(("var_ncap"=[1]OUT_TransportEnergyCons!$B$4:$B$10000)*1,("-"=[1]OUT_TransportEnergyCons!$C$4:$C$10000)*1,ISNUMBER(SEARCH("T_C*ICE*GSL*s2",[1]OUT_TransportEnergyCons!$A$4:$A$10000))*1,[1]OUT_TransportEnergyCons!F$4:F$10000)</f>
        <v>8.24000506074616E-4</v>
      </c>
      <c r="I2134" s="1" cm="1">
        <f t="array" ref="I2134">SUMPRODUCT(("var_ncap"=[1]OUT_TransportEnergyCons!$B$4:$B$10000)*1,("-"=[1]OUT_TransportEnergyCons!$C$4:$C$10000)*1,ISNUMBER(SEARCH("T_C*ICE*GSL*s2",[1]OUT_TransportEnergyCons!$A$4:$A$10000))*1,[1]OUT_TransportEnergyCons!G$4:G$10000)</f>
        <v>3.9133352694928303E-5</v>
      </c>
      <c r="J2134" s="1" cm="1">
        <f t="array" ref="J2134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SUMPRODUCT(("var_ncap"=[1]OUT_TransportEnergyCons!$B$4:$B$10000)*1,("-"=[1]OUT_TransportEnergyCons!$C$4:$C$10000)*1,ISNUMBER(SEARCH("T_C*ICE*GSL*s2",[1]OUT_TransportEnergyCons!$A$4:$A$10000))*1,[1]OUT_TransportEnergyCons!I$4:I$10000)</f>
        <v>0</v>
      </c>
    </row>
    <row r="2135" spans="2:11" x14ac:dyDescent="0.35">
      <c r="B2135" s="5" t="str">
        <f t="shared" si="1368"/>
        <v>SPS1</v>
      </c>
      <c r="C2135" s="5" t="str">
        <f t="shared" si="1369"/>
        <v>CH</v>
      </c>
      <c r="D2135" t="s">
        <v>2270</v>
      </c>
      <c r="E2135" t="str">
        <f t="shared" si="1370"/>
        <v>Million</v>
      </c>
      <c r="F2135" s="1" cm="1">
        <f t="array" ref="F2135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SUMPRODUCT(("var_ncap"=[1]OUT_TransportEnergyCons!$B$4:$B$10000)*1,("-"=[1]OUT_TransportEnergyCons!$C$4:$C$10000)*1,ISNUMBER(SEARCH("T_C*ICE*GSL*s3",[1]OUT_TransportEnergyCons!$A$4:$A$10000))*1,[1]OUT_TransportEnergyCons!E$4:E$10000)</f>
        <v>3.9477778324656097E-5</v>
      </c>
      <c r="H2135" s="1" cm="1">
        <f t="array" ref="H2135">SUMPRODUCT(("var_ncap"=[1]OUT_TransportEnergyCons!$B$4:$B$10000)*1,("-"=[1]OUT_TransportEnergyCons!$C$4:$C$10000)*1,ISNUMBER(SEARCH("T_C*ICE*GSL*s3",[1]OUT_TransportEnergyCons!$A$4:$A$10000))*1,[1]OUT_TransportEnergyCons!F$4:F$10000)</f>
        <v>3.19288213988662E-2</v>
      </c>
      <c r="I2135" s="1" cm="1">
        <f t="array" ref="I2135">SUMPRODUCT(("var_ncap"=[1]OUT_TransportEnergyCons!$B$4:$B$10000)*1,("-"=[1]OUT_TransportEnergyCons!$C$4:$C$10000)*1,ISNUMBER(SEARCH("T_C*ICE*GSL*s3",[1]OUT_TransportEnergyCons!$A$4:$A$10000))*1,[1]OUT_TransportEnergyCons!G$4:G$10000)</f>
        <v>2.49820734034178E-5</v>
      </c>
      <c r="J2135" s="1" cm="1">
        <f t="array" ref="J2135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SUMPRODUCT(("var_ncap"=[1]OUT_TransportEnergyCons!$B$4:$B$10000)*1,("-"=[1]OUT_TransportEnergyCons!$C$4:$C$10000)*1,ISNUMBER(SEARCH("T_C*ICE*GSL*s3",[1]OUT_TransportEnergyCons!$A$4:$A$10000))*1,[1]OUT_TransportEnergyCons!I$4:I$10000)</f>
        <v>0</v>
      </c>
    </row>
    <row r="2136" spans="2:11" x14ac:dyDescent="0.35">
      <c r="B2136" s="5" t="str">
        <f t="shared" si="1368"/>
        <v>SPS1</v>
      </c>
      <c r="C2136" s="5" t="str">
        <f t="shared" si="1369"/>
        <v>CH</v>
      </c>
      <c r="D2136" t="s">
        <v>2271</v>
      </c>
      <c r="E2136" t="str">
        <f t="shared" si="1370"/>
        <v>Million</v>
      </c>
      <c r="F2136" s="1" cm="1">
        <f t="array" ref="F2136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SUMPRODUCT(("var_ncap"=[1]OUT_TransportEnergyCons!$B$4:$B$10000)*1,("-"=[1]OUT_TransportEnergyCons!$C$4:$C$10000)*1,ISNUMBER(SEARCH("T_C*ICE*GSL*s4",[1]OUT_TransportEnergyCons!$A$4:$A$10000))*1,[1]OUT_TransportEnergyCons!E$4:E$10000)</f>
        <v>2.5005531944059499E-5</v>
      </c>
      <c r="H2136" s="1" cm="1">
        <f t="array" ref="H2136">SUMPRODUCT(("var_ncap"=[1]OUT_TransportEnergyCons!$B$4:$B$10000)*1,("-"=[1]OUT_TransportEnergyCons!$C$4:$C$10000)*1,ISNUMBER(SEARCH("T_C*ICE*GSL*s4",[1]OUT_TransportEnergyCons!$A$4:$A$10000))*1,[1]OUT_TransportEnergyCons!F$4:F$10000)</f>
        <v>0.20363236636804999</v>
      </c>
      <c r="I2136" s="1" cm="1">
        <f t="array" ref="I2136">SUMPRODUCT(("var_ncap"=[1]OUT_TransportEnergyCons!$B$4:$B$10000)*1,("-"=[1]OUT_TransportEnergyCons!$C$4:$C$10000)*1,ISNUMBER(SEARCH("T_C*ICE*GSL*s4",[1]OUT_TransportEnergyCons!$A$4:$A$10000))*1,[1]OUT_TransportEnergyCons!G$4:G$10000)</f>
        <v>9.2444716017707105E-5</v>
      </c>
      <c r="J2136" s="1" cm="1">
        <f t="array" ref="J2136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SUMPRODUCT(("var_ncap"=[1]OUT_TransportEnergyCons!$B$4:$B$10000)*1,("-"=[1]OUT_TransportEnergyCons!$C$4:$C$10000)*1,ISNUMBER(SEARCH("T_C*ICE*GSL*s4",[1]OUT_TransportEnergyCons!$A$4:$A$10000))*1,[1]OUT_TransportEnergyCons!I$4:I$10000)</f>
        <v>0</v>
      </c>
    </row>
    <row r="2137" spans="2:11" x14ac:dyDescent="0.35">
      <c r="B2137" s="5" t="str">
        <f t="shared" si="1368"/>
        <v>SPS1</v>
      </c>
      <c r="C2137" s="5" t="str">
        <f t="shared" si="1369"/>
        <v>CH</v>
      </c>
      <c r="D2137" t="s">
        <v>2272</v>
      </c>
      <c r="E2137" t="str">
        <f t="shared" si="1370"/>
        <v>Million</v>
      </c>
      <c r="F2137" s="1" cm="1">
        <f t="array" ref="F2137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SUMPRODUCT(("var_ncap"=[1]OUT_TransportEnergyCons!$B$4:$B$10000)*1,("-"=[1]OUT_TransportEnergyCons!$C$4:$C$10000)*1,ISNUMBER(SEARCH("T_C*mhy*GSL*s1",[1]OUT_TransportEnergyCons!$A$4:$A$10000))*1,[1]OUT_TransportEnergyCons!E$4:E$10000)</f>
        <v>1.33925854458172E-5</v>
      </c>
      <c r="H2137" s="1" cm="1">
        <f t="array" ref="H2137">SUMPRODUCT(("var_ncap"=[1]OUT_TransportEnergyCons!$B$4:$B$10000)*1,("-"=[1]OUT_TransportEnergyCons!$C$4:$C$10000)*1,ISNUMBER(SEARCH("T_C*mhy*GSL*s1",[1]OUT_TransportEnergyCons!$A$4:$A$10000))*1,[1]OUT_TransportEnergyCons!F$4:F$10000)</f>
        <v>5.5724699614065001E-5</v>
      </c>
      <c r="I2137" s="1" cm="1">
        <f t="array" ref="I2137">SUMPRODUCT(("var_ncap"=[1]OUT_TransportEnergyCons!$B$4:$B$10000)*1,("-"=[1]OUT_TransportEnergyCons!$C$4:$C$10000)*1,ISNUMBER(SEARCH("T_C*mhy*GSL*s1",[1]OUT_TransportEnergyCons!$A$4:$A$10000))*1,[1]OUT_TransportEnergyCons!G$4:G$10000)</f>
        <v>2.7211407334237599E-5</v>
      </c>
      <c r="J2137" s="1" cm="1">
        <f t="array" ref="J2137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SUMPRODUCT(("var_ncap"=[1]OUT_TransportEnergyCons!$B$4:$B$10000)*1,("-"=[1]OUT_TransportEnergyCons!$C$4:$C$10000)*1,ISNUMBER(SEARCH("T_C*mhy*GSL*s1",[1]OUT_TransportEnergyCons!$A$4:$A$10000))*1,[1]OUT_TransportEnergyCons!I$4:I$10000)</f>
        <v>0</v>
      </c>
    </row>
    <row r="2138" spans="2:11" x14ac:dyDescent="0.35">
      <c r="B2138" s="5" t="str">
        <f t="shared" si="1368"/>
        <v>SPS1</v>
      </c>
      <c r="C2138" s="5" t="str">
        <f t="shared" si="1369"/>
        <v>CH</v>
      </c>
      <c r="D2138" t="s">
        <v>2273</v>
      </c>
      <c r="E2138" t="str">
        <f t="shared" si="1370"/>
        <v>Million</v>
      </c>
      <c r="F2138" s="1" cm="1">
        <f t="array" ref="F2138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SUMPRODUCT(("var_ncap"=[1]OUT_TransportEnergyCons!$B$4:$B$10000)*1,("-"=[1]OUT_TransportEnergyCons!$C$4:$C$10000)*1,ISNUMBER(SEARCH("T_C*mhy*GSL*s2",[1]OUT_TransportEnergyCons!$A$4:$A$10000))*1,[1]OUT_TransportEnergyCons!E$4:E$10000)</f>
        <v>5.9945071500016304E-6</v>
      </c>
      <c r="H2138" s="1" cm="1">
        <f t="array" ref="H2138">SUMPRODUCT(("var_ncap"=[1]OUT_TransportEnergyCons!$B$4:$B$10000)*1,("-"=[1]OUT_TransportEnergyCons!$C$4:$C$10000)*1,ISNUMBER(SEARCH("T_C*mhy*GSL*s2",[1]OUT_TransportEnergyCons!$A$4:$A$10000))*1,[1]OUT_TransportEnergyCons!F$4:F$10000)</f>
        <v>2.63573371791496E-5</v>
      </c>
      <c r="I2138" s="1" cm="1">
        <f t="array" ref="I2138">SUMPRODUCT(("var_ncap"=[1]OUT_TransportEnergyCons!$B$4:$B$10000)*1,("-"=[1]OUT_TransportEnergyCons!$C$4:$C$10000)*1,ISNUMBER(SEARCH("T_C*mhy*GSL*s2",[1]OUT_TransportEnergyCons!$A$4:$A$10000))*1,[1]OUT_TransportEnergyCons!G$4:G$10000)</f>
        <v>1.7239071064979499E-5</v>
      </c>
      <c r="J2138" s="1" cm="1">
        <f t="array" ref="J2138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SUMPRODUCT(("var_ncap"=[1]OUT_TransportEnergyCons!$B$4:$B$10000)*1,("-"=[1]OUT_TransportEnergyCons!$C$4:$C$10000)*1,ISNUMBER(SEARCH("T_C*mhy*GSL*s2",[1]OUT_TransportEnergyCons!$A$4:$A$10000))*1,[1]OUT_TransportEnergyCons!I$4:I$10000)</f>
        <v>0</v>
      </c>
    </row>
    <row r="2139" spans="2:11" x14ac:dyDescent="0.35">
      <c r="B2139" s="5" t="str">
        <f t="shared" si="1368"/>
        <v>SPS1</v>
      </c>
      <c r="C2139" s="5" t="str">
        <f t="shared" si="1369"/>
        <v>CH</v>
      </c>
      <c r="D2139" t="s">
        <v>2274</v>
      </c>
      <c r="E2139" t="str">
        <f t="shared" si="1370"/>
        <v>Million</v>
      </c>
      <c r="F2139" s="1" cm="1">
        <f t="array" ref="F2139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SUMPRODUCT(("var_ncap"=[1]OUT_TransportEnergyCons!$B$4:$B$10000)*1,("-"=[1]OUT_TransportEnergyCons!$C$4:$C$10000)*1,ISNUMBER(SEARCH("T_C*mhy*GSL*s3",[1]OUT_TransportEnergyCons!$A$4:$A$10000))*1,[1]OUT_TransportEnergyCons!E$4:E$10000)</f>
        <v>7.0537374945907603E-6</v>
      </c>
      <c r="H2139" s="1" cm="1">
        <f t="array" ref="H2139">SUMPRODUCT(("var_ncap"=[1]OUT_TransportEnergyCons!$B$4:$B$10000)*1,("-"=[1]OUT_TransportEnergyCons!$C$4:$C$10000)*1,ISNUMBER(SEARCH("T_C*mhy*GSL*s3",[1]OUT_TransportEnergyCons!$A$4:$A$10000))*1,[1]OUT_TransportEnergyCons!F$4:F$10000)</f>
        <v>2.00261564928652E-5</v>
      </c>
      <c r="I2139" s="1" cm="1">
        <f t="array" ref="I2139">SUMPRODUCT(("var_ncap"=[1]OUT_TransportEnergyCons!$B$4:$B$10000)*1,("-"=[1]OUT_TransportEnergyCons!$C$4:$C$10000)*1,ISNUMBER(SEARCH("T_C*mhy*GSL*s3",[1]OUT_TransportEnergyCons!$A$4:$A$10000))*1,[1]OUT_TransportEnergyCons!G$4:G$10000)</f>
        <v>1.2057729455264901E-5</v>
      </c>
      <c r="J2139" s="1" cm="1">
        <f t="array" ref="J2139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SUMPRODUCT(("var_ncap"=[1]OUT_TransportEnergyCons!$B$4:$B$10000)*1,("-"=[1]OUT_TransportEnergyCons!$C$4:$C$10000)*1,ISNUMBER(SEARCH("T_C*mhy*GSL*s3",[1]OUT_TransportEnergyCons!$A$4:$A$10000))*1,[1]OUT_TransportEnergyCons!I$4:I$10000)</f>
        <v>0</v>
      </c>
    </row>
    <row r="2140" spans="2:11" x14ac:dyDescent="0.35">
      <c r="B2140" s="5" t="str">
        <f t="shared" si="1368"/>
        <v>SPS1</v>
      </c>
      <c r="C2140" s="5" t="str">
        <f t="shared" si="1369"/>
        <v>CH</v>
      </c>
      <c r="D2140" t="s">
        <v>2275</v>
      </c>
      <c r="E2140" t="str">
        <f t="shared" si="1370"/>
        <v>Million</v>
      </c>
      <c r="F2140" s="1" cm="1">
        <f t="array" ref="F2140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SUMPRODUCT(("var_ncap"=[1]OUT_TransportEnergyCons!$B$4:$B$10000)*1,("-"=[1]OUT_TransportEnergyCons!$C$4:$C$10000)*1,ISNUMBER(SEARCH("T_C*mhy*GSL*s4",[1]OUT_TransportEnergyCons!$A$4:$A$10000))*1,[1]OUT_TransportEnergyCons!E$4:E$10000)</f>
        <v>1.02161370185497E-5</v>
      </c>
      <c r="H2140" s="1" cm="1">
        <f t="array" ref="H2140">SUMPRODUCT(("var_ncap"=[1]OUT_TransportEnergyCons!$B$4:$B$10000)*1,("-"=[1]OUT_TransportEnergyCons!$C$4:$C$10000)*1,ISNUMBER(SEARCH("T_C*mhy*GSL*s4",[1]OUT_TransportEnergyCons!$A$4:$A$10000))*1,[1]OUT_TransportEnergyCons!F$4:F$10000)</f>
        <v>3.4427391089853699E-5</v>
      </c>
      <c r="I2140" s="1" cm="1">
        <f t="array" ref="I2140">SUMPRODUCT(("var_ncap"=[1]OUT_TransportEnergyCons!$B$4:$B$10000)*1,("-"=[1]OUT_TransportEnergyCons!$C$4:$C$10000)*1,ISNUMBER(SEARCH("T_C*mhy*GSL*s4",[1]OUT_TransportEnergyCons!$A$4:$A$10000))*1,[1]OUT_TransportEnergyCons!G$4:G$10000)</f>
        <v>2.31713509177191E-5</v>
      </c>
      <c r="J2140" s="1" cm="1">
        <f t="array" ref="J2140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SUMPRODUCT(("var_ncap"=[1]OUT_TransportEnergyCons!$B$4:$B$10000)*1,("-"=[1]OUT_TransportEnergyCons!$C$4:$C$10000)*1,ISNUMBER(SEARCH("T_C*mhy*GSL*s4",[1]OUT_TransportEnergyCons!$A$4:$A$10000))*1,[1]OUT_TransportEnergyCons!I$4:I$10000)</f>
        <v>0</v>
      </c>
    </row>
    <row r="2141" spans="2:11" x14ac:dyDescent="0.35">
      <c r="B2141" s="5" t="str">
        <f t="shared" si="1368"/>
        <v>SPS1</v>
      </c>
      <c r="C2141" s="5" t="str">
        <f t="shared" si="1369"/>
        <v>CH</v>
      </c>
      <c r="D2141" t="s">
        <v>2276</v>
      </c>
      <c r="E2141" t="str">
        <f t="shared" si="1370"/>
        <v>Million</v>
      </c>
      <c r="F2141" s="1" cm="1">
        <f t="array" ref="F2141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1" s="1" cm="1">
        <f t="array" ref="H2141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1" s="1" cm="1">
        <f t="array" ref="I2141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1" s="1" cm="1">
        <f t="array" ref="J2141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SUMPRODUCT(("var_ncap"=[1]OUT_TransportEnergyCons!$B$4:$B$10000)*1,("-"=[1]OUT_TransportEnergyCons!$C$4:$C$10000)*1,ISNUMBER(SEARCH("T_C*hy*dsl*ext",[1]OUT_TransportEnergyCons!$A$4:$A$10000))*1,[1]OUT_TransportEnergyCons!I$4:I$10000)</f>
        <v>0</v>
      </c>
    </row>
    <row r="2142" spans="2:11" x14ac:dyDescent="0.35">
      <c r="B2142" s="5" t="str">
        <f t="shared" ref="B2142:B2159" si="1371">B2141</f>
        <v>SPS1</v>
      </c>
      <c r="C2142" s="5" t="str">
        <f t="shared" ref="C2142:C2159" si="1372">C2141</f>
        <v>CH</v>
      </c>
      <c r="D2142" t="s">
        <v>2277</v>
      </c>
      <c r="E2142" t="str">
        <f t="shared" ref="E2142:E2159" si="1373">E2141</f>
        <v>Million</v>
      </c>
      <c r="F2142" s="1" cm="1">
        <f t="array" ref="F2142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SUMPRODUCT(("var_ncap"=[1]OUT_TransportEnergyCons!$B$4:$B$10000)*1,("-"=[1]OUT_TransportEnergyCons!$C$4:$C$10000)*1,ISNUMBER(SEARCH("T_C*hy*dsl*s1",[1]OUT_TransportEnergyCons!$A$4:$A$10000))*1,[1]OUT_TransportEnergyCons!E$4:E$10000)</f>
        <v>3.2553420039112081E-2</v>
      </c>
      <c r="H2142" s="1" cm="1">
        <f t="array" ref="H2142">SUMPRODUCT(("var_ncap"=[1]OUT_TransportEnergyCons!$B$4:$B$10000)*1,("-"=[1]OUT_TransportEnergyCons!$C$4:$C$10000)*1,ISNUMBER(SEARCH("T_C*hy*dsl*s1",[1]OUT_TransportEnergyCons!$A$4:$A$10000))*1,[1]OUT_TransportEnergyCons!F$4:F$10000)</f>
        <v>5.0959830882865503E-4</v>
      </c>
      <c r="I2142" s="1" cm="1">
        <f t="array" ref="I2142">SUMPRODUCT(("var_ncap"=[1]OUT_TransportEnergyCons!$B$4:$B$10000)*1,("-"=[1]OUT_TransportEnergyCons!$C$4:$C$10000)*1,ISNUMBER(SEARCH("T_C*hy*dsl*s1",[1]OUT_TransportEnergyCons!$A$4:$A$10000))*1,[1]OUT_TransportEnergyCons!G$4:G$10000)</f>
        <v>5.2177600863456997E-5</v>
      </c>
      <c r="J2142" s="1" cm="1">
        <f t="array" ref="J2142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SUMPRODUCT(("var_ncap"=[1]OUT_TransportEnergyCons!$B$4:$B$10000)*1,("-"=[1]OUT_TransportEnergyCons!$C$4:$C$10000)*1,ISNUMBER(SEARCH("T_C*hy*dsl*s1",[1]OUT_TransportEnergyCons!$A$4:$A$10000))*1,[1]OUT_TransportEnergyCons!I$4:I$10000)</f>
        <v>0</v>
      </c>
    </row>
    <row r="2143" spans="2:11" x14ac:dyDescent="0.35">
      <c r="B2143" s="5" t="str">
        <f t="shared" si="1371"/>
        <v>SPS1</v>
      </c>
      <c r="C2143" s="5" t="str">
        <f t="shared" si="1372"/>
        <v>CH</v>
      </c>
      <c r="D2143" t="s">
        <v>2278</v>
      </c>
      <c r="E2143" t="str">
        <f t="shared" si="1373"/>
        <v>Million</v>
      </c>
      <c r="F2143" s="1" cm="1">
        <f t="array" ref="F2143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SUMPRODUCT(("var_ncap"=[1]OUT_TransportEnergyCons!$B$4:$B$10000)*1,("-"=[1]OUT_TransportEnergyCons!$C$4:$C$10000)*1,ISNUMBER(SEARCH("T_C*hy*dsl*s2",[1]OUT_TransportEnergyCons!$A$4:$A$10000))*1,[1]OUT_TransportEnergyCons!E$4:E$10000)</f>
        <v>9.3452846951732615E-2</v>
      </c>
      <c r="H2143" s="1" cm="1">
        <f t="array" ref="H2143">SUMPRODUCT(("var_ncap"=[1]OUT_TransportEnergyCons!$B$4:$B$10000)*1,("-"=[1]OUT_TransportEnergyCons!$C$4:$C$10000)*1,ISNUMBER(SEARCH("T_C*hy*dsl*s2",[1]OUT_TransportEnergyCons!$A$4:$A$10000))*1,[1]OUT_TransportEnergyCons!F$4:F$10000)</f>
        <v>0.12429486641558705</v>
      </c>
      <c r="I2143" s="1" cm="1">
        <f t="array" ref="I2143">SUMPRODUCT(("var_ncap"=[1]OUT_TransportEnergyCons!$B$4:$B$10000)*1,("-"=[1]OUT_TransportEnergyCons!$C$4:$C$10000)*1,ISNUMBER(SEARCH("T_C*hy*dsl*s2",[1]OUT_TransportEnergyCons!$A$4:$A$10000))*1,[1]OUT_TransportEnergyCons!G$4:G$10000)</f>
        <v>3.3131212379893699E-5</v>
      </c>
      <c r="J2143" s="1" cm="1">
        <f t="array" ref="J2143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SUMPRODUCT(("var_ncap"=[1]OUT_TransportEnergyCons!$B$4:$B$10000)*1,("-"=[1]OUT_TransportEnergyCons!$C$4:$C$10000)*1,ISNUMBER(SEARCH("T_C*hy*dsl*s2",[1]OUT_TransportEnergyCons!$A$4:$A$10000))*1,[1]OUT_TransportEnergyCons!I$4:I$10000)</f>
        <v>0</v>
      </c>
    </row>
    <row r="2144" spans="2:11" x14ac:dyDescent="0.35">
      <c r="B2144" s="5" t="str">
        <f t="shared" si="1371"/>
        <v>SPS1</v>
      </c>
      <c r="C2144" s="5" t="str">
        <f t="shared" si="1372"/>
        <v>CH</v>
      </c>
      <c r="D2144" t="s">
        <v>2279</v>
      </c>
      <c r="E2144" t="str">
        <f t="shared" si="1373"/>
        <v>Million</v>
      </c>
      <c r="F2144" s="1" cm="1">
        <f t="array" ref="F2144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SUMPRODUCT(("var_ncap"=[1]OUT_TransportEnergyCons!$B$4:$B$10000)*1,("-"=[1]OUT_TransportEnergyCons!$C$4:$C$10000)*1,ISNUMBER(SEARCH("T_C*hy*dsl*s3",[1]OUT_TransportEnergyCons!$A$4:$A$10000))*1,[1]OUT_TransportEnergyCons!E$4:E$10000)</f>
        <v>5.037020498759494E-5</v>
      </c>
      <c r="H2144" s="1" cm="1">
        <f t="array" ref="H2144">SUMPRODUCT(("var_ncap"=[1]OUT_TransportEnergyCons!$B$4:$B$10000)*1,("-"=[1]OUT_TransportEnergyCons!$C$4:$C$10000)*1,ISNUMBER(SEARCH("T_C*hy*dsl*s3",[1]OUT_TransportEnergyCons!$A$4:$A$10000))*1,[1]OUT_TransportEnergyCons!F$4:F$10000)</f>
        <v>3.2700626622176004E-5</v>
      </c>
      <c r="I2144" s="1" cm="1">
        <f t="array" ref="I2144">SUMPRODUCT(("var_ncap"=[1]OUT_TransportEnergyCons!$B$4:$B$10000)*1,("-"=[1]OUT_TransportEnergyCons!$C$4:$C$10000)*1,ISNUMBER(SEARCH("T_C*hy*dsl*s3",[1]OUT_TransportEnergyCons!$A$4:$A$10000))*1,[1]OUT_TransportEnergyCons!G$4:G$10000)</f>
        <v>1.6579620735724681E-5</v>
      </c>
      <c r="J2144" s="1" cm="1">
        <f t="array" ref="J2144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SUMPRODUCT(("var_ncap"=[1]OUT_TransportEnergyCons!$B$4:$B$10000)*1,("-"=[1]OUT_TransportEnergyCons!$C$4:$C$10000)*1,ISNUMBER(SEARCH("T_C*hy*dsl*s3",[1]OUT_TransportEnergyCons!$A$4:$A$10000))*1,[1]OUT_TransportEnergyCons!I$4:I$10000)</f>
        <v>0</v>
      </c>
    </row>
    <row r="2145" spans="2:11" x14ac:dyDescent="0.35">
      <c r="B2145" s="5" t="str">
        <f t="shared" si="1371"/>
        <v>SPS1</v>
      </c>
      <c r="C2145" s="5" t="str">
        <f t="shared" si="1372"/>
        <v>CH</v>
      </c>
      <c r="D2145" t="s">
        <v>2280</v>
      </c>
      <c r="E2145" t="str">
        <f t="shared" si="1373"/>
        <v>Million</v>
      </c>
      <c r="F2145" s="1" cm="1">
        <f t="array" ref="F2145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SUMPRODUCT(("var_ncap"=[1]OUT_TransportEnergyCons!$B$4:$B$10000)*1,("-"=[1]OUT_TransportEnergyCons!$C$4:$C$10000)*1,ISNUMBER(SEARCH("T_C*hy*dsl*s4",[1]OUT_TransportEnergyCons!$A$4:$A$10000))*1,[1]OUT_TransportEnergyCons!E$4:E$10000)</f>
        <v>5.5243385555734257E-5</v>
      </c>
      <c r="H2145" s="1" cm="1">
        <f t="array" ref="H2145">SUMPRODUCT(("var_ncap"=[1]OUT_TransportEnergyCons!$B$4:$B$10000)*1,("-"=[1]OUT_TransportEnergyCons!$C$4:$C$10000)*1,ISNUMBER(SEARCH("T_C*hy*dsl*s4",[1]OUT_TransportEnergyCons!$A$4:$A$10000))*1,[1]OUT_TransportEnergyCons!F$4:F$10000)</f>
        <v>2.7470029818817079E-5</v>
      </c>
      <c r="I2145" s="1" cm="1">
        <f t="array" ref="I2145">SUMPRODUCT(("var_ncap"=[1]OUT_TransportEnergyCons!$B$4:$B$10000)*1,("-"=[1]OUT_TransportEnergyCons!$C$4:$C$10000)*1,ISNUMBER(SEARCH("T_C*hy*dsl*s4",[1]OUT_TransportEnergyCons!$A$4:$A$10000))*1,[1]OUT_TransportEnergyCons!G$4:G$10000)</f>
        <v>1.544324606730185E-5</v>
      </c>
      <c r="J2145" s="1" cm="1">
        <f t="array" ref="J2145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SUMPRODUCT(("var_ncap"=[1]OUT_TransportEnergyCons!$B$4:$B$10000)*1,("-"=[1]OUT_TransportEnergyCons!$C$4:$C$10000)*1,ISNUMBER(SEARCH("T_C*hy*dsl*s4",[1]OUT_TransportEnergyCons!$A$4:$A$10000))*1,[1]OUT_TransportEnergyCons!I$4:I$10000)</f>
        <v>0</v>
      </c>
    </row>
    <row r="2146" spans="2:11" x14ac:dyDescent="0.35">
      <c r="B2146" s="5" t="str">
        <f t="shared" si="1371"/>
        <v>SPS1</v>
      </c>
      <c r="C2146" s="5" t="str">
        <f t="shared" si="1372"/>
        <v>CH</v>
      </c>
      <c r="D2146" t="s">
        <v>2281</v>
      </c>
      <c r="E2146" t="str">
        <f t="shared" si="1373"/>
        <v>Million</v>
      </c>
      <c r="F2146" s="1" cm="1">
        <f t="array" ref="F2146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SUMPRODUCT(("var_ncap"=[1]OUT_TransportEnergyCons!$B$4:$B$10000)*1,("-"=[1]OUT_TransportEnergyCons!$C$4:$C$10000)*1,ISNUMBER(SEARCH("T_C*ICE*dsl*ext",[1]OUT_TransportEnergyCons!$A$4:$A$10000))*1,[1]OUT_TransportEnergyCons!I$4:I$10000)</f>
        <v>0</v>
      </c>
    </row>
    <row r="2147" spans="2:11" x14ac:dyDescent="0.35">
      <c r="B2147" s="5" t="str">
        <f t="shared" si="1371"/>
        <v>SPS1</v>
      </c>
      <c r="C2147" s="5" t="str">
        <f t="shared" si="1372"/>
        <v>CH</v>
      </c>
      <c r="D2147" t="s">
        <v>2282</v>
      </c>
      <c r="E2147" t="str">
        <f t="shared" si="1373"/>
        <v>Million</v>
      </c>
      <c r="F2147" s="1" cm="1">
        <f t="array" ref="F2147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SUMPRODUCT(("var_ncap"=[1]OUT_TransportEnergyCons!$B$4:$B$10000)*1,("-"=[1]OUT_TransportEnergyCons!$C$4:$C$10000)*1,ISNUMBER(SEARCH("T_C*ICE*dsl*s1",[1]OUT_TransportEnergyCons!$A$4:$A$10000))*1,[1]OUT_TransportEnergyCons!E$4:E$10000)</f>
        <v>2.4032767087864999E-5</v>
      </c>
      <c r="H2147" s="1" cm="1">
        <f t="array" ref="H2147">SUMPRODUCT(("var_ncap"=[1]OUT_TransportEnergyCons!$B$4:$B$10000)*1,("-"=[1]OUT_TransportEnergyCons!$C$4:$C$10000)*1,ISNUMBER(SEARCH("T_C*ICE*dsl*s1",[1]OUT_TransportEnergyCons!$A$4:$A$10000))*1,[1]OUT_TransportEnergyCons!F$4:F$10000)</f>
        <v>3.36869214627934E-5</v>
      </c>
      <c r="I2147" s="1" cm="1">
        <f t="array" ref="I2147">SUMPRODUCT(("var_ncap"=[1]OUT_TransportEnergyCons!$B$4:$B$10000)*1,("-"=[1]OUT_TransportEnergyCons!$C$4:$C$10000)*1,ISNUMBER(SEARCH("T_C*ICE*dsl*s1",[1]OUT_TransportEnergyCons!$A$4:$A$10000))*1,[1]OUT_TransportEnergyCons!G$4:G$10000)</f>
        <v>1.8554684197811301E-5</v>
      </c>
      <c r="J2147" s="1" cm="1">
        <f t="array" ref="J2147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SUMPRODUCT(("var_ncap"=[1]OUT_TransportEnergyCons!$B$4:$B$10000)*1,("-"=[1]OUT_TransportEnergyCons!$C$4:$C$10000)*1,ISNUMBER(SEARCH("T_C*ICE*dsl*s1",[1]OUT_TransportEnergyCons!$A$4:$A$10000))*1,[1]OUT_TransportEnergyCons!I$4:I$10000)</f>
        <v>0</v>
      </c>
    </row>
    <row r="2148" spans="2:11" x14ac:dyDescent="0.35">
      <c r="B2148" s="5" t="str">
        <f t="shared" si="1371"/>
        <v>SPS1</v>
      </c>
      <c r="C2148" s="5" t="str">
        <f t="shared" si="1372"/>
        <v>CH</v>
      </c>
      <c r="D2148" t="s">
        <v>2283</v>
      </c>
      <c r="E2148" t="str">
        <f t="shared" si="1373"/>
        <v>Million</v>
      </c>
      <c r="F2148" s="1" cm="1">
        <f t="array" ref="F2148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SUMPRODUCT(("var_ncap"=[1]OUT_TransportEnergyCons!$B$4:$B$10000)*1,("-"=[1]OUT_TransportEnergyCons!$C$4:$C$10000)*1,ISNUMBER(SEARCH("T_C*ICE*dsl*s2",[1]OUT_TransportEnergyCons!$A$4:$A$10000))*1,[1]OUT_TransportEnergyCons!E$4:E$10000)</f>
        <v>1.0909174220292E-5</v>
      </c>
      <c r="H2148" s="1" cm="1">
        <f t="array" ref="H2148">SUMPRODUCT(("var_ncap"=[1]OUT_TransportEnergyCons!$B$4:$B$10000)*1,("-"=[1]OUT_TransportEnergyCons!$C$4:$C$10000)*1,ISNUMBER(SEARCH("T_C*ICE*dsl*s2",[1]OUT_TransportEnergyCons!$A$4:$A$10000))*1,[1]OUT_TransportEnergyCons!F$4:F$10000)</f>
        <v>2.0790545951243699E-5</v>
      </c>
      <c r="I2148" s="1" cm="1">
        <f t="array" ref="I2148">SUMPRODUCT(("var_ncap"=[1]OUT_TransportEnergyCons!$B$4:$B$10000)*1,("-"=[1]OUT_TransportEnergyCons!$C$4:$C$10000)*1,ISNUMBER(SEARCH("T_C*ICE*dsl*s2",[1]OUT_TransportEnergyCons!$A$4:$A$10000))*1,[1]OUT_TransportEnergyCons!G$4:G$10000)</f>
        <v>1.1320125052156699E-5</v>
      </c>
      <c r="J2148" s="1" cm="1">
        <f t="array" ref="J2148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SUMPRODUCT(("var_ncap"=[1]OUT_TransportEnergyCons!$B$4:$B$10000)*1,("-"=[1]OUT_TransportEnergyCons!$C$4:$C$10000)*1,ISNUMBER(SEARCH("T_C*ICE*dsl*s2",[1]OUT_TransportEnergyCons!$A$4:$A$10000))*1,[1]OUT_TransportEnergyCons!I$4:I$10000)</f>
        <v>0</v>
      </c>
    </row>
    <row r="2149" spans="2:11" x14ac:dyDescent="0.35">
      <c r="B2149" s="5" t="str">
        <f t="shared" si="1371"/>
        <v>SPS1</v>
      </c>
      <c r="C2149" s="5" t="str">
        <f t="shared" si="1372"/>
        <v>CH</v>
      </c>
      <c r="D2149" t="s">
        <v>2284</v>
      </c>
      <c r="E2149" t="str">
        <f t="shared" si="1373"/>
        <v>Million</v>
      </c>
      <c r="F2149" s="1" cm="1">
        <f t="array" ref="F2149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SUMPRODUCT(("var_ncap"=[1]OUT_TransportEnergyCons!$B$4:$B$10000)*1,("-"=[1]OUT_TransportEnergyCons!$C$4:$C$10000)*1,ISNUMBER(SEARCH("T_C*ICE*dsl*s3",[1]OUT_TransportEnergyCons!$A$4:$A$10000))*1,[1]OUT_TransportEnergyCons!E$4:E$10000)</f>
        <v>1.0676897043726E-5</v>
      </c>
      <c r="H2149" s="1" cm="1">
        <f t="array" ref="H2149">SUMPRODUCT(("var_ncap"=[1]OUT_TransportEnergyCons!$B$4:$B$10000)*1,("-"=[1]OUT_TransportEnergyCons!$C$4:$C$10000)*1,ISNUMBER(SEARCH("T_C*ICE*dsl*s3",[1]OUT_TransportEnergyCons!$A$4:$A$10000))*1,[1]OUT_TransportEnergyCons!F$4:F$10000)</f>
        <v>1.42620949810272E-5</v>
      </c>
      <c r="I2149" s="1" cm="1">
        <f t="array" ref="I2149">SUMPRODUCT(("var_ncap"=[1]OUT_TransportEnergyCons!$B$4:$B$10000)*1,("-"=[1]OUT_TransportEnergyCons!$C$4:$C$10000)*1,ISNUMBER(SEARCH("T_C*ICE*dsl*s3",[1]OUT_TransportEnergyCons!$A$4:$A$10000))*1,[1]OUT_TransportEnergyCons!G$4:G$10000)</f>
        <v>7.9418607524203597E-6</v>
      </c>
      <c r="J2149" s="1" cm="1">
        <f t="array" ref="J2149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SUMPRODUCT(("var_ncap"=[1]OUT_TransportEnergyCons!$B$4:$B$10000)*1,("-"=[1]OUT_TransportEnergyCons!$C$4:$C$10000)*1,ISNUMBER(SEARCH("T_C*ICE*dsl*s3",[1]OUT_TransportEnergyCons!$A$4:$A$10000))*1,[1]OUT_TransportEnergyCons!I$4:I$10000)</f>
        <v>0</v>
      </c>
    </row>
    <row r="2150" spans="2:11" x14ac:dyDescent="0.35">
      <c r="B2150" s="5" t="str">
        <f t="shared" si="1371"/>
        <v>SPS1</v>
      </c>
      <c r="C2150" s="5" t="str">
        <f t="shared" si="1372"/>
        <v>CH</v>
      </c>
      <c r="D2150" t="s">
        <v>2285</v>
      </c>
      <c r="E2150" t="str">
        <f t="shared" si="1373"/>
        <v>Million</v>
      </c>
      <c r="F2150" s="1" cm="1">
        <f t="array" ref="F2150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SUMPRODUCT(("var_ncap"=[1]OUT_TransportEnergyCons!$B$4:$B$10000)*1,("-"=[1]OUT_TransportEnergyCons!$C$4:$C$10000)*1,ISNUMBER(SEARCH("T_C*ICE*dsl*s4",[1]OUT_TransportEnergyCons!$A$4:$A$10000))*1,[1]OUT_TransportEnergyCons!E$4:E$10000)</f>
        <v>4.0615781290772502E-6</v>
      </c>
      <c r="H2150" s="1" cm="1">
        <f t="array" ref="H2150">SUMPRODUCT(("var_ncap"=[1]OUT_TransportEnergyCons!$B$4:$B$10000)*1,("-"=[1]OUT_TransportEnergyCons!$C$4:$C$10000)*1,ISNUMBER(SEARCH("T_C*ICE*dsl*s4",[1]OUT_TransportEnergyCons!$A$4:$A$10000))*1,[1]OUT_TransportEnergyCons!F$4:F$10000)</f>
        <v>7.3209127339159001E-6</v>
      </c>
      <c r="I2150" s="1" cm="1">
        <f t="array" ref="I2150">SUMPRODUCT(("var_ncap"=[1]OUT_TransportEnergyCons!$B$4:$B$10000)*1,("-"=[1]OUT_TransportEnergyCons!$C$4:$C$10000)*1,ISNUMBER(SEARCH("T_C*ICE*dsl*s4",[1]OUT_TransportEnergyCons!$A$4:$A$10000))*1,[1]OUT_TransportEnergyCons!G$4:G$10000)</f>
        <v>6.0365827913097098E-6</v>
      </c>
      <c r="J2150" s="1" cm="1">
        <f t="array" ref="J2150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SUMPRODUCT(("var_ncap"=[1]OUT_TransportEnergyCons!$B$4:$B$10000)*1,("-"=[1]OUT_TransportEnergyCons!$C$4:$C$10000)*1,ISNUMBER(SEARCH("T_C*ICE*dsl*s4",[1]OUT_TransportEnergyCons!$A$4:$A$10000))*1,[1]OUT_TransportEnergyCons!I$4:I$10000)</f>
        <v>0</v>
      </c>
    </row>
    <row r="2151" spans="2:11" x14ac:dyDescent="0.35">
      <c r="B2151" s="5" t="str">
        <f t="shared" si="1371"/>
        <v>SPS1</v>
      </c>
      <c r="C2151" s="5" t="str">
        <f t="shared" si="1372"/>
        <v>CH</v>
      </c>
      <c r="D2151" t="s">
        <v>2286</v>
      </c>
      <c r="E2151" t="str">
        <f t="shared" si="1373"/>
        <v>Million</v>
      </c>
      <c r="F2151" s="1" cm="1">
        <f t="array" ref="F2151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SUMPRODUCT(("var_ncap"=[1]OUT_TransportEnergyCons!$B$4:$B$10000)*1,("-"=[1]OUT_TransportEnergyCons!$C$4:$C$10000)*1,ISNUMBER(SEARCH("T_C*mhy*dsl*s1",[1]OUT_TransportEnergyCons!$A$4:$A$10000))*1,[1]OUT_TransportEnergyCons!E$4:E$10000)</f>
        <v>1.1897163072377401E-5</v>
      </c>
      <c r="H2151" s="1" cm="1">
        <f t="array" ref="H2151">SUMPRODUCT(("var_ncap"=[1]OUT_TransportEnergyCons!$B$4:$B$10000)*1,("-"=[1]OUT_TransportEnergyCons!$C$4:$C$10000)*1,ISNUMBER(SEARCH("T_C*mhy*dsl*s1",[1]OUT_TransportEnergyCons!$A$4:$A$10000))*1,[1]OUT_TransportEnergyCons!F$4:F$10000)</f>
        <v>4.6608418238767002E-5</v>
      </c>
      <c r="I2151" s="1" cm="1">
        <f t="array" ref="I2151">SUMPRODUCT(("var_ncap"=[1]OUT_TransportEnergyCons!$B$4:$B$10000)*1,("-"=[1]OUT_TransportEnergyCons!$C$4:$C$10000)*1,ISNUMBER(SEARCH("T_C*mhy*dsl*s1",[1]OUT_TransportEnergyCons!$A$4:$A$10000))*1,[1]OUT_TransportEnergyCons!G$4:G$10000)</f>
        <v>2.4390108452790099E-5</v>
      </c>
      <c r="J2151" s="1" cm="1">
        <f t="array" ref="J2151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SUMPRODUCT(("var_ncap"=[1]OUT_TransportEnergyCons!$B$4:$B$10000)*1,("-"=[1]OUT_TransportEnergyCons!$C$4:$C$10000)*1,ISNUMBER(SEARCH("T_C*mhy*dsl*s1",[1]OUT_TransportEnergyCons!$A$4:$A$10000))*1,[1]OUT_TransportEnergyCons!I$4:I$10000)</f>
        <v>0</v>
      </c>
    </row>
    <row r="2152" spans="2:11" x14ac:dyDescent="0.35">
      <c r="B2152" s="5" t="str">
        <f t="shared" si="1371"/>
        <v>SPS1</v>
      </c>
      <c r="C2152" s="5" t="str">
        <f t="shared" si="1372"/>
        <v>CH</v>
      </c>
      <c r="D2152" t="s">
        <v>2287</v>
      </c>
      <c r="E2152" t="str">
        <f t="shared" si="1373"/>
        <v>Million</v>
      </c>
      <c r="F2152" s="1" cm="1">
        <f t="array" ref="F2152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SUMPRODUCT(("var_ncap"=[1]OUT_TransportEnergyCons!$B$4:$B$10000)*1,("-"=[1]OUT_TransportEnergyCons!$C$4:$C$10000)*1,ISNUMBER(SEARCH("T_C*mhy*dsl*s2",[1]OUT_TransportEnergyCons!$A$4:$A$10000))*1,[1]OUT_TransportEnergyCons!E$4:E$10000)</f>
        <v>5.3533425332044899E-6</v>
      </c>
      <c r="H2152" s="1" cm="1">
        <f t="array" ref="H2152">SUMPRODUCT(("var_ncap"=[1]OUT_TransportEnergyCons!$B$4:$B$10000)*1,("-"=[1]OUT_TransportEnergyCons!$C$4:$C$10000)*1,ISNUMBER(SEARCH("T_C*mhy*dsl*s2",[1]OUT_TransportEnergyCons!$A$4:$A$10000))*1,[1]OUT_TransportEnergyCons!F$4:F$10000)</f>
        <v>2.1692143899047E-5</v>
      </c>
      <c r="I2152" s="1" cm="1">
        <f t="array" ref="I2152">SUMPRODUCT(("var_ncap"=[1]OUT_TransportEnergyCons!$B$4:$B$10000)*1,("-"=[1]OUT_TransportEnergyCons!$C$4:$C$10000)*1,ISNUMBER(SEARCH("T_C*mhy*dsl*s2",[1]OUT_TransportEnergyCons!$A$4:$A$10000))*1,[1]OUT_TransportEnergyCons!G$4:G$10000)</f>
        <v>1.4769820271646001E-5</v>
      </c>
      <c r="J2152" s="1" cm="1">
        <f t="array" ref="J2152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SUMPRODUCT(("var_ncap"=[1]OUT_TransportEnergyCons!$B$4:$B$10000)*1,("-"=[1]OUT_TransportEnergyCons!$C$4:$C$10000)*1,ISNUMBER(SEARCH("T_C*mhy*dsl*s2",[1]OUT_TransportEnergyCons!$A$4:$A$10000))*1,[1]OUT_TransportEnergyCons!I$4:I$10000)</f>
        <v>0</v>
      </c>
    </row>
    <row r="2153" spans="2:11" x14ac:dyDescent="0.35">
      <c r="B2153" s="5" t="str">
        <f t="shared" si="1371"/>
        <v>SPS1</v>
      </c>
      <c r="C2153" s="5" t="str">
        <f t="shared" si="1372"/>
        <v>CH</v>
      </c>
      <c r="D2153" t="s">
        <v>2288</v>
      </c>
      <c r="E2153" t="str">
        <f t="shared" si="1373"/>
        <v>Million</v>
      </c>
      <c r="F2153" s="1" cm="1">
        <f t="array" ref="F2153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SUMPRODUCT(("var_ncap"=[1]OUT_TransportEnergyCons!$B$4:$B$10000)*1,("-"=[1]OUT_TransportEnergyCons!$C$4:$C$10000)*1,ISNUMBER(SEARCH("T_C*mhy*dsl*s3",[1]OUT_TransportEnergyCons!$A$4:$A$10000))*1,[1]OUT_TransportEnergyCons!E$4:E$10000)</f>
        <v>5.9159066301786402E-6</v>
      </c>
      <c r="H2153" s="1" cm="1">
        <f t="array" ref="H2153">SUMPRODUCT(("var_ncap"=[1]OUT_TransportEnergyCons!$B$4:$B$10000)*1,("-"=[1]OUT_TransportEnergyCons!$C$4:$C$10000)*1,ISNUMBER(SEARCH("T_C*mhy*dsl*s3",[1]OUT_TransportEnergyCons!$A$4:$A$10000))*1,[1]OUT_TransportEnergyCons!F$4:F$10000)</f>
        <v>1.6636371872552101E-5</v>
      </c>
      <c r="I2153" s="1" cm="1">
        <f t="array" ref="I2153">SUMPRODUCT(("var_ncap"=[1]OUT_TransportEnergyCons!$B$4:$B$10000)*1,("-"=[1]OUT_TransportEnergyCons!$C$4:$C$10000)*1,ISNUMBER(SEARCH("T_C*mhy*dsl*s3",[1]OUT_TransportEnergyCons!$A$4:$A$10000))*1,[1]OUT_TransportEnergyCons!G$4:G$10000)</f>
        <v>1.02654836121571E-5</v>
      </c>
      <c r="J2153" s="1" cm="1">
        <f t="array" ref="J2153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SUMPRODUCT(("var_ncap"=[1]OUT_TransportEnergyCons!$B$4:$B$10000)*1,("-"=[1]OUT_TransportEnergyCons!$C$4:$C$10000)*1,ISNUMBER(SEARCH("T_C*mhy*dsl*s3",[1]OUT_TransportEnergyCons!$A$4:$A$10000))*1,[1]OUT_TransportEnergyCons!I$4:I$10000)</f>
        <v>0</v>
      </c>
    </row>
    <row r="2154" spans="2:11" x14ac:dyDescent="0.35">
      <c r="B2154" s="5" t="str">
        <f t="shared" si="1371"/>
        <v>SPS1</v>
      </c>
      <c r="C2154" s="5" t="str">
        <f t="shared" si="1372"/>
        <v>CH</v>
      </c>
      <c r="D2154" t="s">
        <v>2289</v>
      </c>
      <c r="E2154" t="str">
        <f t="shared" si="1373"/>
        <v>Million</v>
      </c>
      <c r="F2154" s="1" cm="1">
        <f t="array" ref="F2154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SUMPRODUCT(("var_ncap"=[1]OUT_TransportEnergyCons!$B$4:$B$10000)*1,("-"=[1]OUT_TransportEnergyCons!$C$4:$C$10000)*1,ISNUMBER(SEARCH("T_C*mhy*dsl*s4",[1]OUT_TransportEnergyCons!$A$4:$A$10000))*1,[1]OUT_TransportEnergyCons!E$4:E$10000)</f>
        <v>4.4807647072406602E-6</v>
      </c>
      <c r="H2154" s="1" cm="1">
        <f t="array" ref="H2154">SUMPRODUCT(("var_ncap"=[1]OUT_TransportEnergyCons!$B$4:$B$10000)*1,("-"=[1]OUT_TransportEnergyCons!$C$4:$C$10000)*1,ISNUMBER(SEARCH("T_C*mhy*dsl*s4",[1]OUT_TransportEnergyCons!$A$4:$A$10000))*1,[1]OUT_TransportEnergyCons!F$4:F$10000)</f>
        <v>9.1111523091392808E-6</v>
      </c>
      <c r="I2154" s="1" cm="1">
        <f t="array" ref="I2154">SUMPRODUCT(("var_ncap"=[1]OUT_TransportEnergyCons!$B$4:$B$10000)*1,("-"=[1]OUT_TransportEnergyCons!$C$4:$C$10000)*1,ISNUMBER(SEARCH("T_C*mhy*dsl*s4",[1]OUT_TransportEnergyCons!$A$4:$A$10000))*1,[1]OUT_TransportEnergyCons!G$4:G$10000)</f>
        <v>7.09866768314756E-6</v>
      </c>
      <c r="J2154" s="1" cm="1">
        <f t="array" ref="J2154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SUMPRODUCT(("var_ncap"=[1]OUT_TransportEnergyCons!$B$4:$B$10000)*1,("-"=[1]OUT_TransportEnergyCons!$C$4:$C$10000)*1,ISNUMBER(SEARCH("T_C*mhy*dsl*s4",[1]OUT_TransportEnergyCons!$A$4:$A$10000))*1,[1]OUT_TransportEnergyCons!I$4:I$10000)</f>
        <v>0</v>
      </c>
    </row>
    <row r="2155" spans="2:11" x14ac:dyDescent="0.35">
      <c r="B2155" s="5" t="str">
        <f t="shared" si="1371"/>
        <v>SPS1</v>
      </c>
      <c r="C2155" s="5" t="str">
        <f t="shared" si="1372"/>
        <v>CH</v>
      </c>
      <c r="D2155" t="s">
        <v>2290</v>
      </c>
      <c r="E2155" t="str">
        <f t="shared" si="1373"/>
        <v>Million</v>
      </c>
      <c r="F2155" s="1" cm="1">
        <f t="array" ref="F2155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55" s="1" cm="1">
        <f t="array" ref="H2155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55" s="1" cm="1">
        <f t="array" ref="I2155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55" s="1" cm="1">
        <f t="array" ref="J2155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SUMPRODUCT(("var_ncap"=[1]OUT_TransportEnergyCons!$B$4:$B$10000)*1,("-"=[1]OUT_TransportEnergyCons!$C$4:$C$10000)*1,ISNUMBER(SEARCH("T_C*ICE*nga*ext",[1]OUT_TransportEnergyCons!$A$4:$A$10000))*1,[1]OUT_TransportEnergyCons!I$4:I$10000)</f>
        <v>0</v>
      </c>
    </row>
    <row r="2156" spans="2:11" x14ac:dyDescent="0.35">
      <c r="B2156" s="5" t="str">
        <f t="shared" si="1371"/>
        <v>SPS1</v>
      </c>
      <c r="C2156" s="5" t="str">
        <f t="shared" si="1372"/>
        <v>CH</v>
      </c>
      <c r="D2156" t="s">
        <v>2291</v>
      </c>
      <c r="E2156" t="str">
        <f t="shared" si="1373"/>
        <v>Million</v>
      </c>
      <c r="F2156" s="1" cm="1">
        <f t="array" ref="F2156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SUMPRODUCT(("var_ncap"=[1]OUT_TransportEnergyCons!$B$4:$B$10000)*1,("-"=[1]OUT_TransportEnergyCons!$C$4:$C$10000)*1,ISNUMBER(SEARCH("T_C*ICE*nga*s1",[1]OUT_TransportEnergyCons!$A$4:$A$10000))*1,[1]OUT_TransportEnergyCons!E$4:E$10000)</f>
        <v>1.6639427006209399E-6</v>
      </c>
      <c r="H2156" s="1" cm="1">
        <f t="array" ref="H2156">SUMPRODUCT(("var_ncap"=[1]OUT_TransportEnergyCons!$B$4:$B$10000)*1,("-"=[1]OUT_TransportEnergyCons!$C$4:$C$10000)*1,ISNUMBER(SEARCH("T_C*ICE*nga*s1",[1]OUT_TransportEnergyCons!$A$4:$A$10000))*1,[1]OUT_TransportEnergyCons!F$4:F$10000)</f>
        <v>1.9617806569204399E-6</v>
      </c>
      <c r="I2156" s="1" cm="1">
        <f t="array" ref="I2156">SUMPRODUCT(("var_ncap"=[1]OUT_TransportEnergyCons!$B$4:$B$10000)*1,("-"=[1]OUT_TransportEnergyCons!$C$4:$C$10000)*1,ISNUMBER(SEARCH("T_C*ICE*nga*s1",[1]OUT_TransportEnergyCons!$A$4:$A$10000))*1,[1]OUT_TransportEnergyCons!G$4:G$10000)</f>
        <v>5.6223503234182196E-7</v>
      </c>
      <c r="J2156" s="1" cm="1">
        <f t="array" ref="J2156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SUMPRODUCT(("var_ncap"=[1]OUT_TransportEnergyCons!$B$4:$B$10000)*1,("-"=[1]OUT_TransportEnergyCons!$C$4:$C$10000)*1,ISNUMBER(SEARCH("T_C*ICE*nga*s1",[1]OUT_TransportEnergyCons!$A$4:$A$10000))*1,[1]OUT_TransportEnergyCons!I$4:I$10000)</f>
        <v>0</v>
      </c>
    </row>
    <row r="2157" spans="2:11" x14ac:dyDescent="0.35">
      <c r="B2157" s="5" t="str">
        <f t="shared" si="1371"/>
        <v>SPS1</v>
      </c>
      <c r="C2157" s="5" t="str">
        <f t="shared" si="1372"/>
        <v>CH</v>
      </c>
      <c r="D2157" t="s">
        <v>2292</v>
      </c>
      <c r="E2157" t="str">
        <f t="shared" si="1373"/>
        <v>Million</v>
      </c>
      <c r="F2157" s="1" cm="1">
        <f t="array" ref="F2157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SUMPRODUCT(("var_ncap"=[1]OUT_TransportEnergyCons!$B$4:$B$10000)*1,("-"=[1]OUT_TransportEnergyCons!$C$4:$C$10000)*1,ISNUMBER(SEARCH("T_C*ICE*nga*s2",[1]OUT_TransportEnergyCons!$A$4:$A$10000))*1,[1]OUT_TransportEnergyCons!E$4:E$10000)</f>
        <v>9.811777839979719E-7</v>
      </c>
      <c r="H2157" s="1" cm="1">
        <f t="array" ref="H2157">SUMPRODUCT(("var_ncap"=[1]OUT_TransportEnergyCons!$B$4:$B$10000)*1,("-"=[1]OUT_TransportEnergyCons!$C$4:$C$10000)*1,ISNUMBER(SEARCH("T_C*ICE*nga*s2",[1]OUT_TransportEnergyCons!$A$4:$A$10000))*1,[1]OUT_TransportEnergyCons!F$4:F$10000)</f>
        <v>1.36303725610806E-6</v>
      </c>
      <c r="I2157" s="1" cm="1">
        <f t="array" ref="I2157">SUMPRODUCT(("var_ncap"=[1]OUT_TransportEnergyCons!$B$4:$B$10000)*1,("-"=[1]OUT_TransportEnergyCons!$C$4:$C$10000)*1,ISNUMBER(SEARCH("T_C*ICE*nga*s2",[1]OUT_TransportEnergyCons!$A$4:$A$10000))*1,[1]OUT_TransportEnergyCons!G$4:G$10000)</f>
        <v>5.5038259479719196E-7</v>
      </c>
      <c r="J2157" s="1" cm="1">
        <f t="array" ref="J2157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SUMPRODUCT(("var_ncap"=[1]OUT_TransportEnergyCons!$B$4:$B$10000)*1,("-"=[1]OUT_TransportEnergyCons!$C$4:$C$10000)*1,ISNUMBER(SEARCH("T_C*ICE*nga*s2",[1]OUT_TransportEnergyCons!$A$4:$A$10000))*1,[1]OUT_TransportEnergyCons!I$4:I$10000)</f>
        <v>0</v>
      </c>
    </row>
    <row r="2158" spans="2:11" x14ac:dyDescent="0.35">
      <c r="B2158" s="5" t="str">
        <f t="shared" si="1371"/>
        <v>SPS1</v>
      </c>
      <c r="C2158" s="5" t="str">
        <f t="shared" si="1372"/>
        <v>CH</v>
      </c>
      <c r="D2158" t="s">
        <v>2293</v>
      </c>
      <c r="E2158" t="str">
        <f t="shared" si="1373"/>
        <v>Million</v>
      </c>
      <c r="F2158" s="1" cm="1">
        <f t="array" ref="F2158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SUMPRODUCT(("var_ncap"=[1]OUT_TransportEnergyCons!$B$4:$B$10000)*1,("-"=[1]OUT_TransportEnergyCons!$C$4:$C$10000)*1,ISNUMBER(SEARCH("T_C*ICE*nga*s3",[1]OUT_TransportEnergyCons!$A$4:$A$10000))*1,[1]OUT_TransportEnergyCons!E$4:E$10000)</f>
        <v>1.27603584783823E-6</v>
      </c>
      <c r="H2158" s="1" cm="1">
        <f t="array" ref="H2158">SUMPRODUCT(("var_ncap"=[1]OUT_TransportEnergyCons!$B$4:$B$10000)*1,("-"=[1]OUT_TransportEnergyCons!$C$4:$C$10000)*1,ISNUMBER(SEARCH("T_C*ICE*nga*s3",[1]OUT_TransportEnergyCons!$A$4:$A$10000))*1,[1]OUT_TransportEnergyCons!F$4:F$10000)</f>
        <v>1.42407197587295E-6</v>
      </c>
      <c r="I2158" s="1" cm="1">
        <f t="array" ref="I2158">SUMPRODUCT(("var_ncap"=[1]OUT_TransportEnergyCons!$B$4:$B$10000)*1,("-"=[1]OUT_TransportEnergyCons!$C$4:$C$10000)*1,ISNUMBER(SEARCH("T_C*ICE*nga*s3",[1]OUT_TransportEnergyCons!$A$4:$A$10000))*1,[1]OUT_TransportEnergyCons!G$4:G$10000)</f>
        <v>5.2728537113944904E-7</v>
      </c>
      <c r="J2158" s="1" cm="1">
        <f t="array" ref="J2158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SUMPRODUCT(("var_ncap"=[1]OUT_TransportEnergyCons!$B$4:$B$10000)*1,("-"=[1]OUT_TransportEnergyCons!$C$4:$C$10000)*1,ISNUMBER(SEARCH("T_C*ICE*nga*s3",[1]OUT_TransportEnergyCons!$A$4:$A$10000))*1,[1]OUT_TransportEnergyCons!I$4:I$10000)</f>
        <v>0</v>
      </c>
    </row>
    <row r="2159" spans="2:11" x14ac:dyDescent="0.35">
      <c r="B2159" s="5" t="str">
        <f t="shared" si="1371"/>
        <v>SPS1</v>
      </c>
      <c r="C2159" s="5" t="str">
        <f t="shared" si="1372"/>
        <v>CH</v>
      </c>
      <c r="D2159" t="s">
        <v>2294</v>
      </c>
      <c r="E2159" t="str">
        <f t="shared" si="1373"/>
        <v>Million</v>
      </c>
      <c r="F2159" s="1" cm="1">
        <f t="array" ref="F2159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SUMPRODUCT(("var_ncap"=[1]OUT_TransportEnergyCons!$B$4:$B$10000)*1,("-"=[1]OUT_TransportEnergyCons!$C$4:$C$10000)*1,ISNUMBER(SEARCH("T_C*ICE*nga*s4",[1]OUT_TransportEnergyCons!$A$4:$A$10000))*1,[1]OUT_TransportEnergyCons!E$4:E$10000)</f>
        <v>1.3069526140256401E-6</v>
      </c>
      <c r="H2159" s="1" cm="1">
        <f t="array" ref="H2159">SUMPRODUCT(("var_ncap"=[1]OUT_TransportEnergyCons!$B$4:$B$10000)*1,("-"=[1]OUT_TransportEnergyCons!$C$4:$C$10000)*1,ISNUMBER(SEARCH("T_C*ICE*nga*s4",[1]OUT_TransportEnergyCons!$A$4:$A$10000))*1,[1]OUT_TransportEnergyCons!F$4:F$10000)</f>
        <v>1.6946947874353901E-6</v>
      </c>
      <c r="I2159" s="1" cm="1">
        <f t="array" ref="I2159">SUMPRODUCT(("var_ncap"=[1]OUT_TransportEnergyCons!$B$4:$B$10000)*1,("-"=[1]OUT_TransportEnergyCons!$C$4:$C$10000)*1,ISNUMBER(SEARCH("T_C*ICE*nga*s4",[1]OUT_TransportEnergyCons!$A$4:$A$10000))*1,[1]OUT_TransportEnergyCons!G$4:G$10000)</f>
        <v>6.1399572056186703E-7</v>
      </c>
      <c r="J2159" s="1" cm="1">
        <f t="array" ref="J2159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SUMPRODUCT(("var_ncap"=[1]OUT_TransportEnergyCons!$B$4:$B$10000)*1,("-"=[1]OUT_TransportEnergyCons!$C$4:$C$10000)*1,ISNUMBER(SEARCH("T_C*ICE*nga*s4",[1]OUT_TransportEnergyCons!$A$4:$A$10000))*1,[1]OUT_TransportEnergyCons!I$4:I$10000)</f>
        <v>0</v>
      </c>
    </row>
    <row r="2160" spans="2:11" x14ac:dyDescent="0.35">
      <c r="B2160" s="5" t="str">
        <f>'SPS1'!B1948</f>
        <v>SPS1</v>
      </c>
      <c r="C2160" s="5" t="str">
        <f>'SPS1'!C1948</f>
        <v>CH</v>
      </c>
      <c r="D2160" s="2" t="s">
        <v>2295</v>
      </c>
      <c r="E2160" s="2" t="s">
        <v>2000</v>
      </c>
      <c r="F2160" s="3">
        <f t="shared" ref="F2160:K2160" si="1374">SUM(F2161:F2183)</f>
        <v>0</v>
      </c>
      <c r="G2160" s="3">
        <f t="shared" si="1374"/>
        <v>0.71270335784271432</v>
      </c>
      <c r="H2160" s="3">
        <f t="shared" si="1374"/>
        <v>1.5550285146867091</v>
      </c>
      <c r="I2160" s="3">
        <f t="shared" si="1374"/>
        <v>6.6658024095884763</v>
      </c>
      <c r="J2160" s="3">
        <f t="shared" si="1374"/>
        <v>3.0728585042394818</v>
      </c>
      <c r="K2160" s="3">
        <f t="shared" si="1374"/>
        <v>6.0242435950422797</v>
      </c>
    </row>
    <row r="2161" spans="2:11" x14ac:dyDescent="0.35">
      <c r="B2161" s="5" t="str">
        <f t="shared" ref="B2161:B2192" si="1375">B2160</f>
        <v>SPS1</v>
      </c>
      <c r="C2161" s="5" t="str">
        <f t="shared" ref="C2161:C2192" si="1376">C2160</f>
        <v>CH</v>
      </c>
      <c r="D2161" t="s">
        <v>2296</v>
      </c>
      <c r="E2161" t="s">
        <v>2000</v>
      </c>
      <c r="F2161" s="1" cm="1">
        <f t="array" ref="F2161">(SUMPRODUCT(("var_ncap"=[1]OUT_TransportEnergyCons!$B$4:$B$10000)*1,ISNUMBER(SEARCH("T_B_u*bev*ext",[1]OUT_TransportEnergyCons!$A$4:$A$10000))*1,[1]OUT_TransportEnergyCons!D$4:D$10000))*1000</f>
        <v>0</v>
      </c>
      <c r="G2161" s="1" cm="1">
        <f t="array" ref="G2161">(SUMPRODUCT(("var_ncap"=[1]OUT_TransportEnergyCons!$B$4:$B$10000)*1,ISNUMBER(SEARCH("T_B_u*bev*ext",[1]OUT_TransportEnergyCons!$A$4:$A$10000))*1,[1]OUT_TransportEnergyCons!E$4:E$10000))*1000</f>
        <v>0</v>
      </c>
      <c r="H2161" s="1" cm="1">
        <f t="array" ref="H2161">(SUMPRODUCT(("var_ncap"=[1]OUT_TransportEnergyCons!$B$4:$B$10000)*1,ISNUMBER(SEARCH("T_B_u*bev*ext",[1]OUT_TransportEnergyCons!$A$4:$A$10000))*1,[1]OUT_TransportEnergyCons!F$4:F$10000))*1000</f>
        <v>0</v>
      </c>
      <c r="I2161" s="1" cm="1">
        <f t="array" ref="I2161">(SUMPRODUCT(("var_ncap"=[1]OUT_TransportEnergyCons!$B$4:$B$10000)*1,ISNUMBER(SEARCH("T_B_u*bev*ext",[1]OUT_TransportEnergyCons!$A$4:$A$10000))*1,[1]OUT_TransportEnergyCons!G$4:G$10000))*1000</f>
        <v>0</v>
      </c>
      <c r="J2161" s="1" cm="1">
        <f t="array" ref="J2161">(SUMPRODUCT(("var_ncap"=[1]OUT_TransportEnergyCons!$B$4:$B$10000)*1,ISNUMBER(SEARCH("T_B_u*bev*ext",[1]OUT_TransportEnergyCons!$A$4:$A$10000))*1,[1]OUT_TransportEnergyCons!H$4:H$10000))*1000</f>
        <v>0</v>
      </c>
      <c r="K2161" s="1" cm="1">
        <f t="array" ref="K2161">(SUMPRODUCT(("var_ncap"=[1]OUT_TransportEnergyCons!$B$4:$B$10000)*1,ISNUMBER(SEARCH("T_B_u*bev*ext",[1]OUT_TransportEnergyCons!$A$4:$A$10000))*1,[1]OUT_TransportEnergyCons!I$4:I$10000))*1000</f>
        <v>0</v>
      </c>
    </row>
    <row r="2162" spans="2:11" x14ac:dyDescent="0.35">
      <c r="B2162" s="5" t="str">
        <f t="shared" si="1375"/>
        <v>SPS1</v>
      </c>
      <c r="C2162" s="5" t="str">
        <f t="shared" si="1376"/>
        <v>CH</v>
      </c>
      <c r="D2162" t="s">
        <v>2297</v>
      </c>
      <c r="E2162" t="s">
        <v>2000</v>
      </c>
      <c r="F2162" s="1" cm="1">
        <f t="array" ref="F2162">(SUMPRODUCT(("var_ncap"=[1]OUT_TransportEnergyCons!$B$4:$B$10000)*1,ISNUMBER(SEARCH("T_B_u*bev*s1",[1]OUT_TransportEnergyCons!$A$4:$A$10000))*1,[1]OUT_TransportEnergyCons!D$4:D$10000))*1000</f>
        <v>0</v>
      </c>
      <c r="G2162" s="1" cm="1">
        <f t="array" ref="G2162">(SUMPRODUCT(("var_ncap"=[1]OUT_TransportEnergyCons!$B$4:$B$10000)*1,ISNUMBER(SEARCH("T_B_u*bev*s1",[1]OUT_TransportEnergyCons!$A$4:$A$10000))*1,[1]OUT_TransportEnergyCons!E$4:E$10000))*1000</f>
        <v>7.0233178304753199E-3</v>
      </c>
      <c r="H2162" s="1" cm="1">
        <f t="array" ref="H2162">(SUMPRODUCT(("var_ncap"=[1]OUT_TransportEnergyCons!$B$4:$B$10000)*1,ISNUMBER(SEARCH("T_B_u*bev*s1",[1]OUT_TransportEnergyCons!$A$4:$A$10000))*1,[1]OUT_TransportEnergyCons!F$4:F$10000))*1000</f>
        <v>6.90283941865622E-3</v>
      </c>
      <c r="I2162" s="1" cm="1">
        <f t="array" ref="I2162">(SUMPRODUCT(("var_ncap"=[1]OUT_TransportEnergyCons!$B$4:$B$10000)*1,ISNUMBER(SEARCH("T_B_u*bev*s1",[1]OUT_TransportEnergyCons!$A$4:$A$10000))*1,[1]OUT_TransportEnergyCons!G$4:G$10000))*1000</f>
        <v>1.9969648155053499</v>
      </c>
      <c r="J2162" s="1" cm="1">
        <f t="array" ref="J2162">(SUMPRODUCT(("var_ncap"=[1]OUT_TransportEnergyCons!$B$4:$B$10000)*1,ISNUMBER(SEARCH("T_B_u*bev*s1",[1]OUT_TransportEnergyCons!$A$4:$A$10000))*1,[1]OUT_TransportEnergyCons!H$4:H$10000))*1000</f>
        <v>0.51483903514611895</v>
      </c>
      <c r="K2162" s="1" cm="1">
        <f t="array" ref="K2162">(SUMPRODUCT(("var_ncap"=[1]OUT_TransportEnergyCons!$B$4:$B$10000)*1,ISNUMBER(SEARCH("T_B_u*bev*s1",[1]OUT_TransportEnergyCons!$A$4:$A$10000))*1,[1]OUT_TransportEnergyCons!I$4:I$10000))*1000</f>
        <v>2.3676479520464602</v>
      </c>
    </row>
    <row r="2163" spans="2:11" x14ac:dyDescent="0.35">
      <c r="B2163" s="5" t="str">
        <f t="shared" si="1375"/>
        <v>SPS1</v>
      </c>
      <c r="C2163" s="5" t="str">
        <f t="shared" si="1376"/>
        <v>CH</v>
      </c>
      <c r="D2163" t="s">
        <v>2298</v>
      </c>
      <c r="E2163" t="s">
        <v>2000</v>
      </c>
      <c r="F2163" s="1" cm="1">
        <f t="array" ref="F2163">(SUMPRODUCT(("var_ncap"=[1]OUT_TransportEnergyCons!$B$4:$B$10000)*1,ISNUMBER(SEARCH("T_B_u*bev*s2",[1]OUT_TransportEnergyCons!$A$4:$A$10000))*1,[1]OUT_TransportEnergyCons!D$4:D$10000))*1000</f>
        <v>0</v>
      </c>
      <c r="G2163" s="1" cm="1">
        <f t="array" ref="G2163">(SUMPRODUCT(("var_ncap"=[1]OUT_TransportEnergyCons!$B$4:$B$10000)*1,ISNUMBER(SEARCH("T_B_u*bev*s2",[1]OUT_TransportEnergyCons!$A$4:$A$10000))*1,[1]OUT_TransportEnergyCons!E$4:E$10000))*1000</f>
        <v>1.2030894855626999E-3</v>
      </c>
      <c r="H2163" s="1" cm="1">
        <f t="array" ref="H2163">(SUMPRODUCT(("var_ncap"=[1]OUT_TransportEnergyCons!$B$4:$B$10000)*1,ISNUMBER(SEARCH("T_B_u*bev*s2",[1]OUT_TransportEnergyCons!$A$4:$A$10000))*1,[1]OUT_TransportEnergyCons!F$4:F$10000))*1000</f>
        <v>7.0051666716655601E-3</v>
      </c>
      <c r="I2163" s="1" cm="1">
        <f t="array" ref="I2163">(SUMPRODUCT(("var_ncap"=[1]OUT_TransportEnergyCons!$B$4:$B$10000)*1,ISNUMBER(SEARCH("T_B_u*bev*s2",[1]OUT_TransportEnergyCons!$A$4:$A$10000))*1,[1]OUT_TransportEnergyCons!G$4:G$10000))*1000</f>
        <v>0.73928352592409396</v>
      </c>
      <c r="J2163" s="1" cm="1">
        <f t="array" ref="J2163">(SUMPRODUCT(("var_ncap"=[1]OUT_TransportEnergyCons!$B$4:$B$10000)*1,ISNUMBER(SEARCH("T_B_u*bev*s2",[1]OUT_TransportEnergyCons!$A$4:$A$10000))*1,[1]OUT_TransportEnergyCons!H$4:H$10000))*1000</f>
        <v>0.10361843051542301</v>
      </c>
      <c r="K2163" s="1" cm="1">
        <f t="array" ref="K2163">(SUMPRODUCT(("var_ncap"=[1]OUT_TransportEnergyCons!$B$4:$B$10000)*1,ISNUMBER(SEARCH("T_B_u*bev*s2",[1]OUT_TransportEnergyCons!$A$4:$A$10000))*1,[1]OUT_TransportEnergyCons!I$4:I$10000))*1000</f>
        <v>0.6939154605426</v>
      </c>
    </row>
    <row r="2164" spans="2:11" x14ac:dyDescent="0.35">
      <c r="B2164" s="5" t="str">
        <f t="shared" si="1375"/>
        <v>SPS1</v>
      </c>
      <c r="C2164" s="5" t="str">
        <f t="shared" si="1376"/>
        <v>CH</v>
      </c>
      <c r="D2164" t="s">
        <v>2299</v>
      </c>
      <c r="E2164" t="s">
        <v>2000</v>
      </c>
      <c r="F2164" s="1" cm="1">
        <f t="array" ref="F2164">(SUMPRODUCT(("var_ncap"=[1]OUT_TransportEnergyCons!$B$4:$B$10000)*1,ISNUMBER(SEARCH("T_B_u*bev*s3",[1]OUT_TransportEnergyCons!$A$4:$A$10000))*1,[1]OUT_TransportEnergyCons!D$4:D$10000))*1000</f>
        <v>0</v>
      </c>
      <c r="G2164" s="1" cm="1">
        <f t="array" ref="G2164">(SUMPRODUCT(("var_ncap"=[1]OUT_TransportEnergyCons!$B$4:$B$10000)*1,ISNUMBER(SEARCH("T_B_u*bev*s3",[1]OUT_TransportEnergyCons!$A$4:$A$10000))*1,[1]OUT_TransportEnergyCons!E$4:E$10000))*1000</f>
        <v>6.196947382137711E-4</v>
      </c>
      <c r="H2164" s="1" cm="1">
        <f t="array" ref="H2164">(SUMPRODUCT(("var_ncap"=[1]OUT_TransportEnergyCons!$B$4:$B$10000)*1,ISNUMBER(SEARCH("T_B_u*bev*s3",[1]OUT_TransportEnergyCons!$A$4:$A$10000))*1,[1]OUT_TransportEnergyCons!F$4:F$10000))*1000</f>
        <v>5.3938685979696204E-3</v>
      </c>
      <c r="I2164" s="1" cm="1">
        <f t="array" ref="I2164">(SUMPRODUCT(("var_ncap"=[1]OUT_TransportEnergyCons!$B$4:$B$10000)*1,ISNUMBER(SEARCH("T_B_u*bev*s3",[1]OUT_TransportEnergyCons!$A$4:$A$10000))*1,[1]OUT_TransportEnergyCons!G$4:G$10000))*1000</f>
        <v>3.50336204507816</v>
      </c>
      <c r="J2164" s="1" cm="1">
        <f t="array" ref="J2164">(SUMPRODUCT(("var_ncap"=[1]OUT_TransportEnergyCons!$B$4:$B$10000)*1,ISNUMBER(SEARCH("T_B_u*bev*s3",[1]OUT_TransportEnergyCons!$A$4:$A$10000))*1,[1]OUT_TransportEnergyCons!H$4:H$10000))*1000</f>
        <v>2.4541414242088901</v>
      </c>
      <c r="K2164" s="1" cm="1">
        <f t="array" ref="K2164">(SUMPRODUCT(("var_ncap"=[1]OUT_TransportEnergyCons!$B$4:$B$10000)*1,ISNUMBER(SEARCH("T_B_u*bev*s3",[1]OUT_TransportEnergyCons!$A$4:$A$10000))*1,[1]OUT_TransportEnergyCons!I$4:I$10000))*1000</f>
        <v>2.9625724311669699</v>
      </c>
    </row>
    <row r="2165" spans="2:11" x14ac:dyDescent="0.35">
      <c r="B2165" s="5" t="str">
        <f t="shared" si="1375"/>
        <v>SPS1</v>
      </c>
      <c r="C2165" s="5" t="str">
        <f t="shared" si="1376"/>
        <v>CH</v>
      </c>
      <c r="D2165" t="s">
        <v>2300</v>
      </c>
      <c r="E2165" t="s">
        <v>2000</v>
      </c>
      <c r="F2165" s="1" cm="1">
        <f t="array" ref="F2165">(SUMPRODUCT(("var_ncap"=[1]OUT_TransportEnergyCons!$B$4:$B$10000)*1,ISNUMBER(SEARCH("T_B_u*bev*s4",[1]OUT_TransportEnergyCons!$A$4:$A$10000))*1,[1]OUT_TransportEnergyCons!D$4:D$10000))*1000</f>
        <v>0</v>
      </c>
      <c r="G2165" s="1" cm="1">
        <f t="array" ref="G2165">(SUMPRODUCT(("var_ncap"=[1]OUT_TransportEnergyCons!$B$4:$B$10000)*1,ISNUMBER(SEARCH("T_B_u*bev*s4",[1]OUT_TransportEnergyCons!$A$4:$A$10000))*1,[1]OUT_TransportEnergyCons!E$4:E$10000))*1000</f>
        <v>1.36516582054278E-4</v>
      </c>
      <c r="H2165" s="1" cm="1">
        <f t="array" ref="H2165">(SUMPRODUCT(("var_ncap"=[1]OUT_TransportEnergyCons!$B$4:$B$10000)*1,ISNUMBER(SEARCH("T_B_u*bev*s4",[1]OUT_TransportEnergyCons!$A$4:$A$10000))*1,[1]OUT_TransportEnergyCons!F$4:F$10000))*1000</f>
        <v>2.1399984579401199E-4</v>
      </c>
      <c r="I2165" s="1" cm="1">
        <f t="array" ref="I2165">(SUMPRODUCT(("var_ncap"=[1]OUT_TransportEnergyCons!$B$4:$B$10000)*1,ISNUMBER(SEARCH("T_B_u*bev*s4",[1]OUT_TransportEnergyCons!$A$4:$A$10000))*1,[1]OUT_TransportEnergyCons!G$4:G$10000))*1000</f>
        <v>0.426132672153124</v>
      </c>
      <c r="J2165" s="1" cm="1">
        <f t="array" ref="J2165">(SUMPRODUCT(("var_ncap"=[1]OUT_TransportEnergyCons!$B$4:$B$10000)*1,ISNUMBER(SEARCH("T_B_u*bev*s4",[1]OUT_TransportEnergyCons!$A$4:$A$10000))*1,[1]OUT_TransportEnergyCons!H$4:H$10000))*1000</f>
        <v>2.1799195338811803E-4</v>
      </c>
      <c r="K2165" s="1" cm="1">
        <f t="array" ref="K2165">(SUMPRODUCT(("var_ncap"=[1]OUT_TransportEnergyCons!$B$4:$B$10000)*1,ISNUMBER(SEARCH("T_B_u*bev*s4",[1]OUT_TransportEnergyCons!$A$4:$A$10000))*1,[1]OUT_TransportEnergyCons!I$4:I$10000))*1000</f>
        <v>9.5044162841430898E-5</v>
      </c>
    </row>
    <row r="2166" spans="2:11" x14ac:dyDescent="0.35">
      <c r="B2166" s="5" t="str">
        <f t="shared" si="1375"/>
        <v>SPS1</v>
      </c>
      <c r="C2166" s="5" t="str">
        <f t="shared" si="1376"/>
        <v>CH</v>
      </c>
      <c r="D2166" t="s">
        <v>2301</v>
      </c>
      <c r="E2166" t="s">
        <v>2000</v>
      </c>
      <c r="F2166" s="1" cm="1">
        <f t="array" ref="F2166">(SUMPRODUCT(("var_ncap"=[1]OUT_TransportEnergyCons!$B$4:$B$10000)*1,ISNUMBER(SEARCH("T_B_u*h2o*s1",[1]OUT_TransportEnergyCons!$A$4:$A$10000))*1,[1]OUT_TransportEnergyCons!D$4:D$10000))*1000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(SUMPRODUCT(("var_ncap"=[1]OUT_TransportEnergyCons!$B$4:$B$10000)*1,ISNUMBER(SEARCH("T_B_u*h2o*s1",[1]OUT_TransportEnergyCons!$A$4:$A$10000))*1,[1]OUT_TransportEnergyCons!E$4:E$10000))*1000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(SUMPRODUCT(("var_ncap"=[1]OUT_TransportEnergyCons!$B$4:$B$10000)*1,ISNUMBER(SEARCH("T_B_u*h2o*s1",[1]OUT_TransportEnergyCons!$A$4:$A$10000))*1,[1]OUT_TransportEnergyCons!F$4:F$10000))*1000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(SUMPRODUCT(("var_ncap"=[1]OUT_TransportEnergyCons!$B$4:$B$10000)*1,ISNUMBER(SEARCH("T_B_u*h2o*s1",[1]OUT_TransportEnergyCons!$A$4:$A$10000))*1,[1]OUT_TransportEnergyCons!G$4:G$10000))*1000</f>
        <v>3.5884030317278701E-5</v>
      </c>
      <c r="J2166" s="1" cm="1">
        <f t="array" ref="J2166">(SUMPRODUCT(("var_ncap"=[1]OUT_TransportEnergyCons!$B$4:$B$10000)*1,ISNUMBER(SEARCH("T_B_u*h2o*s1",[1]OUT_TransportEnergyCons!$A$4:$A$10000))*1,[1]OUT_TransportEnergyCons!H$4:H$10000))*1000</f>
        <v>1.5981317927897799E-5</v>
      </c>
      <c r="K2166" s="1" cm="1">
        <f t="array" ref="K2166">(SUMPRODUCT(("var_ncap"=[1]OUT_TransportEnergyCons!$B$4:$B$10000)*1,ISNUMBER(SEARCH("T_B_u*h2o*s1",[1]OUT_TransportEnergyCons!$A$4:$A$10000))*1,[1]OUT_TransportEnergyCons!I$4:I$10000))*1000</f>
        <v>1.2707123408990399E-5</v>
      </c>
    </row>
    <row r="2167" spans="2:11" x14ac:dyDescent="0.35">
      <c r="B2167" s="5" t="str">
        <f t="shared" si="1375"/>
        <v>SPS1</v>
      </c>
      <c r="C2167" s="5" t="str">
        <f t="shared" si="1376"/>
        <v>CH</v>
      </c>
      <c r="D2167" t="s">
        <v>2302</v>
      </c>
      <c r="E2167" t="s">
        <v>2000</v>
      </c>
      <c r="F2167" s="1" cm="1">
        <f t="array" ref="F2167">(SUMPRODUCT(("var_ncap"=[1]OUT_TransportEnergyCons!$B$4:$B$10000)*1,ISNUMBER(SEARCH("T_B_u*h2o*s2",[1]OUT_TransportEnergyCons!$A$4:$A$10000))*1,[1]OUT_TransportEnergyCons!D$4:D$10000))*1000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(SUMPRODUCT(("var_ncap"=[1]OUT_TransportEnergyCons!$B$4:$B$10000)*1,ISNUMBER(SEARCH("T_B_u*h2o*s2",[1]OUT_TransportEnergyCons!$A$4:$A$10000))*1,[1]OUT_TransportEnergyCons!E$4:E$10000))*1000</f>
        <v>0</v>
      </c>
      <c r="H2167" s="1" cm="1">
        <f t="array" ref="H2167">(SUMPRODUCT(("var_ncap"=[1]OUT_TransportEnergyCons!$B$4:$B$10000)*1,ISNUMBER(SEARCH("T_B_u*h2o*s2",[1]OUT_TransportEnergyCons!$A$4:$A$10000))*1,[1]OUT_TransportEnergyCons!F$4:F$10000))*1000</f>
        <v>0</v>
      </c>
      <c r="I2167" s="1" cm="1">
        <f t="array" ref="I2167">(SUMPRODUCT(("var_ncap"=[1]OUT_TransportEnergyCons!$B$4:$B$10000)*1,ISNUMBER(SEARCH("T_B_u*h2o*s2",[1]OUT_TransportEnergyCons!$A$4:$A$10000))*1,[1]OUT_TransportEnergyCons!G$4:G$10000))*1000</f>
        <v>1.1180950372993101E-5</v>
      </c>
      <c r="J2167" s="1" cm="1">
        <f t="array" ref="J2167">(SUMPRODUCT(("var_ncap"=[1]OUT_TransportEnergyCons!$B$4:$B$10000)*1,ISNUMBER(SEARCH("T_B_u*h2o*s2",[1]OUT_TransportEnergyCons!$A$4:$A$10000))*1,[1]OUT_TransportEnergyCons!H$4:H$10000))*1000</f>
        <v>0</v>
      </c>
      <c r="K2167" s="1" cm="1">
        <f t="array" ref="K2167">(SUMPRODUCT(("var_ncap"=[1]OUT_TransportEnergyCons!$B$4:$B$10000)*1,ISNUMBER(SEARCH("T_B_u*h2o*s2",[1]OUT_TransportEnergyCons!$A$4:$A$10000))*1,[1]OUT_TransportEnergyCons!I$4:I$10000))*1000</f>
        <v>0</v>
      </c>
    </row>
    <row r="2168" spans="2:11" x14ac:dyDescent="0.35">
      <c r="B2168" s="5" t="str">
        <f t="shared" si="1375"/>
        <v>SPS1</v>
      </c>
      <c r="C2168" s="5" t="str">
        <f t="shared" si="1376"/>
        <v>CH</v>
      </c>
      <c r="D2168" t="s">
        <v>2303</v>
      </c>
      <c r="E2168" t="s">
        <v>2000</v>
      </c>
      <c r="F2168" s="1" cm="1">
        <f t="array" ref="F2168">(SUMPRODUCT(("var_ncap"=[1]OUT_TransportEnergyCons!$B$4:$B$10000)*1,ISNUMBER(SEARCH("T_B_u*h2o*s3",[1]OUT_TransportEnergyCons!$A$4:$A$10000))*1,[1]OUT_TransportEnergyCons!D$4:D$10000))*1000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(SUMPRODUCT(("var_ncap"=[1]OUT_TransportEnergyCons!$B$4:$B$10000)*1,ISNUMBER(SEARCH("T_B_u*h2o*s3",[1]OUT_TransportEnergyCons!$A$4:$A$10000))*1,[1]OUT_TransportEnergyCons!E$4:E$10000))*1000</f>
        <v>0</v>
      </c>
      <c r="H2168" s="1" cm="1">
        <f t="array" ref="H2168">(SUMPRODUCT(("var_ncap"=[1]OUT_TransportEnergyCons!$B$4:$B$10000)*1,ISNUMBER(SEARCH("T_B_u*h2o*s3",[1]OUT_TransportEnergyCons!$A$4:$A$10000))*1,[1]OUT_TransportEnergyCons!F$4:F$10000))*1000</f>
        <v>0</v>
      </c>
      <c r="I2168" s="1" cm="1">
        <f t="array" ref="I2168">(SUMPRODUCT(("var_ncap"=[1]OUT_TransportEnergyCons!$B$4:$B$10000)*1,ISNUMBER(SEARCH("T_B_u*h2o*s3",[1]OUT_TransportEnergyCons!$A$4:$A$10000))*1,[1]OUT_TransportEnergyCons!G$4:G$10000))*1000</f>
        <v>0</v>
      </c>
      <c r="J2168" s="1" cm="1">
        <f t="array" ref="J2168">(SUMPRODUCT(("var_ncap"=[1]OUT_TransportEnergyCons!$B$4:$B$10000)*1,ISNUMBER(SEARCH("T_B_u*h2o*s3",[1]OUT_TransportEnergyCons!$A$4:$A$10000))*1,[1]OUT_TransportEnergyCons!H$4:H$10000))*1000</f>
        <v>0</v>
      </c>
      <c r="K2168" s="1" cm="1">
        <f t="array" ref="K2168">(SUMPRODUCT(("var_ncap"=[1]OUT_TransportEnergyCons!$B$4:$B$10000)*1,ISNUMBER(SEARCH("T_B_u*h2o*s3",[1]OUT_TransportEnergyCons!$A$4:$A$10000))*1,[1]OUT_TransportEnergyCons!I$4:I$10000))*1000</f>
        <v>0</v>
      </c>
    </row>
    <row r="2169" spans="2:11" x14ac:dyDescent="0.35">
      <c r="B2169" s="5" t="str">
        <f t="shared" si="1375"/>
        <v>SPS1</v>
      </c>
      <c r="C2169" s="5" t="str">
        <f t="shared" si="1376"/>
        <v>CH</v>
      </c>
      <c r="D2169" t="s">
        <v>2304</v>
      </c>
      <c r="E2169" t="s">
        <v>2000</v>
      </c>
      <c r="F2169" s="1" cm="1">
        <f t="array" ref="F2169">(SUMPRODUCT(("var_ncap"=[1]OUT_TransportEnergyCons!$B$4:$B$10000)*1,ISNUMBER(SEARCH("T_B_u*h2o*s4",[1]OUT_TransportEnergyCons!$A$4:$A$10000))*1,[1]OUT_TransportEnergyCons!D$4:D$10000))*1000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(SUMPRODUCT(("var_ncap"=[1]OUT_TransportEnergyCons!$B$4:$B$10000)*1,ISNUMBER(SEARCH("T_B_u*h2o*s4",[1]OUT_TransportEnergyCons!$A$4:$A$10000))*1,[1]OUT_TransportEnergyCons!E$4:E$10000))*1000</f>
        <v>0</v>
      </c>
      <c r="H2169" s="1" cm="1">
        <f t="array" ref="H2169">(SUMPRODUCT(("var_ncap"=[1]OUT_TransportEnergyCons!$B$4:$B$10000)*1,ISNUMBER(SEARCH("T_B_u*h2o*s4",[1]OUT_TransportEnergyCons!$A$4:$A$10000))*1,[1]OUT_TransportEnergyCons!F$4:F$10000))*1000</f>
        <v>0</v>
      </c>
      <c r="I2169" s="1" cm="1">
        <f t="array" ref="I2169">(SUMPRODUCT(("var_ncap"=[1]OUT_TransportEnergyCons!$B$4:$B$10000)*1,ISNUMBER(SEARCH("T_B_u*h2o*s4",[1]OUT_TransportEnergyCons!$A$4:$A$10000))*1,[1]OUT_TransportEnergyCons!G$4:G$10000))*1000</f>
        <v>0</v>
      </c>
      <c r="J2169" s="1" cm="1">
        <f t="array" ref="J2169">(SUMPRODUCT(("var_ncap"=[1]OUT_TransportEnergyCons!$B$4:$B$10000)*1,ISNUMBER(SEARCH("T_B_u*h2o*s4",[1]OUT_TransportEnergyCons!$A$4:$A$10000))*1,[1]OUT_TransportEnergyCons!H$4:H$10000))*1000</f>
        <v>0</v>
      </c>
      <c r="K2169" s="1" cm="1">
        <f t="array" ref="K2169">(SUMPRODUCT(("var_ncap"=[1]OUT_TransportEnergyCons!$B$4:$B$10000)*1,ISNUMBER(SEARCH("T_B_u*h2o*s4",[1]OUT_TransportEnergyCons!$A$4:$A$10000))*1,[1]OUT_TransportEnergyCons!I$4:I$10000))*1000</f>
        <v>0</v>
      </c>
    </row>
    <row r="2170" spans="2:11" x14ac:dyDescent="0.35">
      <c r="B2170" s="5" t="str">
        <f t="shared" si="1375"/>
        <v>SPS1</v>
      </c>
      <c r="C2170" s="5" t="str">
        <f t="shared" si="1376"/>
        <v>CH</v>
      </c>
      <c r="D2170" t="s">
        <v>2305</v>
      </c>
      <c r="E2170" t="s">
        <v>2000</v>
      </c>
      <c r="F2170" s="1" cm="1">
        <f t="array" ref="F2170">(SUMPRODUCT(("var_ncap"=[1]OUT_TransportEnergyCons!$B$4:$B$10000)*1,ISNUMBER(SEARCH("T_B_u*hyb*DSL*s1",[1]OUT_TransportEnergyCons!$A$4:$A$10000))*1,[1]OUT_TransportEnergyCons!D$4:D$10000))*1000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(SUMPRODUCT(("var_ncap"=[1]OUT_TransportEnergyCons!$B$4:$B$10000)*1,ISNUMBER(SEARCH("T_B_u*hyb*DSL*s1",[1]OUT_TransportEnergyCons!$A$4:$A$10000))*1,[1]OUT_TransportEnergyCons!E$4:E$10000))*1000</f>
        <v>0.16657532790917301</v>
      </c>
      <c r="H2170" s="1" cm="1">
        <f t="array" ref="H2170">(SUMPRODUCT(("var_ncap"=[1]OUT_TransportEnergyCons!$B$4:$B$10000)*1,ISNUMBER(SEARCH("T_B_u*hyb*DSL*s1",[1]OUT_TransportEnergyCons!$A$4:$A$10000))*1,[1]OUT_TransportEnergyCons!F$4:F$10000))*1000</f>
        <v>8.7698580994605797E-4</v>
      </c>
      <c r="I2170" s="1" cm="1">
        <f t="array" ref="I2170">(SUMPRODUCT(("var_ncap"=[1]OUT_TransportEnergyCons!$B$4:$B$10000)*1,ISNUMBER(SEARCH("T_B_u*hyb*DSL*s1",[1]OUT_TransportEnergyCons!$A$4:$A$10000))*1,[1]OUT_TransportEnergyCons!G$4:G$10000))*1000</f>
        <v>0</v>
      </c>
      <c r="J2170" s="1" cm="1">
        <f t="array" ref="J2170">(SUMPRODUCT(("var_ncap"=[1]OUT_TransportEnergyCons!$B$4:$B$10000)*1,ISNUMBER(SEARCH("T_B_u*hyb*DSL*s1",[1]OUT_TransportEnergyCons!$A$4:$A$10000))*1,[1]OUT_TransportEnergyCons!H$4:H$10000))*1000</f>
        <v>0</v>
      </c>
      <c r="K2170" s="1" cm="1">
        <f t="array" ref="K2170">(SUMPRODUCT(("var_ncap"=[1]OUT_TransportEnergyCons!$B$4:$B$10000)*1,ISNUMBER(SEARCH("T_B_u*hyb*DSL*s1",[1]OUT_TransportEnergyCons!$A$4:$A$10000))*1,[1]OUT_TransportEnergyCons!I$4:I$10000))*1000</f>
        <v>0</v>
      </c>
    </row>
    <row r="2171" spans="2:11" x14ac:dyDescent="0.35">
      <c r="B2171" s="5" t="str">
        <f t="shared" si="1375"/>
        <v>SPS1</v>
      </c>
      <c r="C2171" s="5" t="str">
        <f t="shared" si="1376"/>
        <v>CH</v>
      </c>
      <c r="D2171" t="s">
        <v>2306</v>
      </c>
      <c r="E2171" t="s">
        <v>2000</v>
      </c>
      <c r="F2171" s="1" cm="1">
        <f t="array" ref="F2171">(SUMPRODUCT(("var_ncap"=[1]OUT_TransportEnergyCons!$B$4:$B$10000)*1,ISNUMBER(SEARCH("T_B_u*hyb*DSL*s2",[1]OUT_TransportEnergyCons!$A$4:$A$10000))*1,[1]OUT_TransportEnergyCons!D$4:D$10000))*1000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(SUMPRODUCT(("var_ncap"=[1]OUT_TransportEnergyCons!$B$4:$B$10000)*1,ISNUMBER(SEARCH("T_B_u*hyb*DSL*s2",[1]OUT_TransportEnergyCons!$A$4:$A$10000))*1,[1]OUT_TransportEnergyCons!E$4:E$10000))*1000</f>
        <v>6.8227567722157904E-4</v>
      </c>
      <c r="H2171" s="1" cm="1">
        <f t="array" ref="H2171">(SUMPRODUCT(("var_ncap"=[1]OUT_TransportEnergyCons!$B$4:$B$10000)*1,ISNUMBER(SEARCH("T_B_u*hyb*DSL*s2",[1]OUT_TransportEnergyCons!$A$4:$A$10000))*1,[1]OUT_TransportEnergyCons!F$4:F$10000))*1000</f>
        <v>2.9320928199142403E-4</v>
      </c>
      <c r="I2171" s="1" cm="1">
        <f t="array" ref="I2171">(SUMPRODUCT(("var_ncap"=[1]OUT_TransportEnergyCons!$B$4:$B$10000)*1,ISNUMBER(SEARCH("T_B_u*hyb*DSL*s2",[1]OUT_TransportEnergyCons!$A$4:$A$10000))*1,[1]OUT_TransportEnergyCons!G$4:G$10000))*1000</f>
        <v>0</v>
      </c>
      <c r="J2171" s="1" cm="1">
        <f t="array" ref="J2171">(SUMPRODUCT(("var_ncap"=[1]OUT_TransportEnergyCons!$B$4:$B$10000)*1,ISNUMBER(SEARCH("T_B_u*hyb*DSL*s2",[1]OUT_TransportEnergyCons!$A$4:$A$10000))*1,[1]OUT_TransportEnergyCons!H$4:H$10000))*1000</f>
        <v>0</v>
      </c>
      <c r="K2171" s="1" cm="1">
        <f t="array" ref="K2171">(SUMPRODUCT(("var_ncap"=[1]OUT_TransportEnergyCons!$B$4:$B$10000)*1,ISNUMBER(SEARCH("T_B_u*hyb*DSL*s2",[1]OUT_TransportEnergyCons!$A$4:$A$10000))*1,[1]OUT_TransportEnergyCons!I$4:I$10000))*1000</f>
        <v>0</v>
      </c>
    </row>
    <row r="2172" spans="2:11" x14ac:dyDescent="0.35">
      <c r="B2172" s="5" t="str">
        <f t="shared" si="1375"/>
        <v>SPS1</v>
      </c>
      <c r="C2172" s="5" t="str">
        <f t="shared" si="1376"/>
        <v>CH</v>
      </c>
      <c r="D2172" t="s">
        <v>2307</v>
      </c>
      <c r="E2172" t="s">
        <v>2000</v>
      </c>
      <c r="F2172" s="1" cm="1">
        <f t="array" ref="F2172">(SUMPRODUCT(("var_ncap"=[1]OUT_TransportEnergyCons!$B$4:$B$10000)*1,ISNUMBER(SEARCH("T_B_u*hyb*DSL*s3",[1]OUT_TransportEnergyCons!$A$4:$A$10000))*1,[1]OUT_TransportEnergyCons!D$4:D$10000))*1000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(SUMPRODUCT(("var_ncap"=[1]OUT_TransportEnergyCons!$B$4:$B$10000)*1,ISNUMBER(SEARCH("T_B_u*hyb*DSL*s3",[1]OUT_TransportEnergyCons!$A$4:$A$10000))*1,[1]OUT_TransportEnergyCons!E$4:E$10000))*1000</f>
        <v>5.2215313941468599E-4</v>
      </c>
      <c r="H2172" s="1" cm="1">
        <f t="array" ref="H2172">(SUMPRODUCT(("var_ncap"=[1]OUT_TransportEnergyCons!$B$4:$B$10000)*1,ISNUMBER(SEARCH("T_B_u*hyb*DSL*s3",[1]OUT_TransportEnergyCons!$A$4:$A$10000))*1,[1]OUT_TransportEnergyCons!F$4:F$10000))*1000</f>
        <v>1.8280439117005301E-4</v>
      </c>
      <c r="I2172" s="1" cm="1">
        <f t="array" ref="I2172">(SUMPRODUCT(("var_ncap"=[1]OUT_TransportEnergyCons!$B$4:$B$10000)*1,ISNUMBER(SEARCH("T_B_u*hyb*DSL*s3",[1]OUT_TransportEnergyCons!$A$4:$A$10000))*1,[1]OUT_TransportEnergyCons!G$4:G$10000))*1000</f>
        <v>0</v>
      </c>
      <c r="J2172" s="1" cm="1">
        <f t="array" ref="J2172">(SUMPRODUCT(("var_ncap"=[1]OUT_TransportEnergyCons!$B$4:$B$10000)*1,ISNUMBER(SEARCH("T_B_u*hyb*DSL*s3",[1]OUT_TransportEnergyCons!$A$4:$A$10000))*1,[1]OUT_TransportEnergyCons!H$4:H$10000))*1000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(SUMPRODUCT(("var_ncap"=[1]OUT_TransportEnergyCons!$B$4:$B$10000)*1,ISNUMBER(SEARCH("T_B_u*hyb*DSL*s3",[1]OUT_TransportEnergyCons!$A$4:$A$10000))*1,[1]OUT_TransportEnergyCons!I$4:I$10000))*1000</f>
        <v>0</v>
      </c>
    </row>
    <row r="2173" spans="2:11" x14ac:dyDescent="0.35">
      <c r="B2173" s="5" t="str">
        <f t="shared" si="1375"/>
        <v>SPS1</v>
      </c>
      <c r="C2173" s="5" t="str">
        <f t="shared" si="1376"/>
        <v>CH</v>
      </c>
      <c r="D2173" t="s">
        <v>2308</v>
      </c>
      <c r="E2173" t="s">
        <v>2000</v>
      </c>
      <c r="F2173" s="1" cm="1">
        <f t="array" ref="F2173">(SUMPRODUCT(("var_ncap"=[1]OUT_TransportEnergyCons!$B$4:$B$10000)*1,ISNUMBER(SEARCH("T_B_u*hyb*DSL*s4",[1]OUT_TransportEnergyCons!$A$4:$A$10000))*1,[1]OUT_TransportEnergyCons!D$4:D$10000))*1000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(SUMPRODUCT(("var_ncap"=[1]OUT_TransportEnergyCons!$B$4:$B$10000)*1,ISNUMBER(SEARCH("T_B_u*hyb*DSL*s4",[1]OUT_TransportEnergyCons!$A$4:$A$10000))*1,[1]OUT_TransportEnergyCons!E$4:E$10000))*1000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(SUMPRODUCT(("var_ncap"=[1]OUT_TransportEnergyCons!$B$4:$B$10000)*1,ISNUMBER(SEARCH("T_B_u*hyb*DSL*s4",[1]OUT_TransportEnergyCons!$A$4:$A$10000))*1,[1]OUT_TransportEnergyCons!F$4:F$10000))*1000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(SUMPRODUCT(("var_ncap"=[1]OUT_TransportEnergyCons!$B$4:$B$10000)*1,ISNUMBER(SEARCH("T_B_u*hyb*DSL*s4",[1]OUT_TransportEnergyCons!$A$4:$A$10000))*1,[1]OUT_TransportEnergyCons!G$4:G$10000))*1000</f>
        <v>0</v>
      </c>
      <c r="J2173" s="1" cm="1">
        <f t="array" ref="J2173">(SUMPRODUCT(("var_ncap"=[1]OUT_TransportEnergyCons!$B$4:$B$10000)*1,ISNUMBER(SEARCH("T_B_u*hyb*DSL*s4",[1]OUT_TransportEnergyCons!$A$4:$A$10000))*1,[1]OUT_TransportEnergyCons!H$4:H$10000))*1000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(SUMPRODUCT(("var_ncap"=[1]OUT_TransportEnergyCons!$B$4:$B$10000)*1,ISNUMBER(SEARCH("T_B_u*hyb*DSL*s4",[1]OUT_TransportEnergyCons!$A$4:$A$10000))*1,[1]OUT_TransportEnergyCons!I$4:I$10000))*1000</f>
        <v>0</v>
      </c>
    </row>
    <row r="2174" spans="2:11" x14ac:dyDescent="0.35">
      <c r="B2174" s="5" t="str">
        <f t="shared" si="1375"/>
        <v>SPS1</v>
      </c>
      <c r="C2174" s="5" t="str">
        <f t="shared" si="1376"/>
        <v>CH</v>
      </c>
      <c r="D2174" t="s">
        <v>2309</v>
      </c>
      <c r="E2174" t="s">
        <v>2000</v>
      </c>
      <c r="F2174" s="1" cm="1">
        <f t="array" ref="F2174">(SUMPRODUCT(("var_ncap"=[1]OUT_TransportEnergyCons!$B$4:$B$10000)*1,ISNUMBER(SEARCH("T_B_u*ICE*DSL*ext",[1]OUT_TransportEnergyCons!$A$4:$A$10000))*1,[1]OUT_TransportEnergyCons!D$4:D$10000))*1000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(SUMPRODUCT(("var_ncap"=[1]OUT_TransportEnergyCons!$B$4:$B$10000)*1,ISNUMBER(SEARCH("T_B_u*ICE*DSL*ext",[1]OUT_TransportEnergyCons!$A$4:$A$10000))*1,[1]OUT_TransportEnergyCons!E$4:E$10000))*1000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(SUMPRODUCT(("var_ncap"=[1]OUT_TransportEnergyCons!$B$4:$B$10000)*1,ISNUMBER(SEARCH("T_B_u*ICE*DSL*ext",[1]OUT_TransportEnergyCons!$A$4:$A$10000))*1,[1]OUT_TransportEnergyCons!F$4:F$10000))*1000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(SUMPRODUCT(("var_ncap"=[1]OUT_TransportEnergyCons!$B$4:$B$10000)*1,ISNUMBER(SEARCH("T_B_u*ICE*DSL*ext",[1]OUT_TransportEnergyCons!$A$4:$A$10000))*1,[1]OUT_TransportEnergyCons!G$4:G$10000))*1000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(SUMPRODUCT(("var_ncap"=[1]OUT_TransportEnergyCons!$B$4:$B$10000)*1,ISNUMBER(SEARCH("T_B_u*ICE*DSL*ext",[1]OUT_TransportEnergyCons!$A$4:$A$10000))*1,[1]OUT_TransportEnergyCons!H$4:H$10000))*1000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(SUMPRODUCT(("var_ncap"=[1]OUT_TransportEnergyCons!$B$4:$B$10000)*1,ISNUMBER(SEARCH("T_B_u*ICE*DSL*ext",[1]OUT_TransportEnergyCons!$A$4:$A$10000))*1,[1]OUT_TransportEnergyCons!I$4:I$10000))*1000</f>
        <v>0</v>
      </c>
    </row>
    <row r="2175" spans="2:11" x14ac:dyDescent="0.35">
      <c r="B2175" s="5" t="str">
        <f t="shared" si="1375"/>
        <v>SPS1</v>
      </c>
      <c r="C2175" s="5" t="str">
        <f t="shared" si="1376"/>
        <v>CH</v>
      </c>
      <c r="D2175" t="s">
        <v>2310</v>
      </c>
      <c r="E2175" t="s">
        <v>2000</v>
      </c>
      <c r="F2175" s="1" cm="1">
        <f t="array" ref="F2175">(SUMPRODUCT(("var_ncap"=[1]OUT_TransportEnergyCons!$B$4:$B$10000)*1,ISNUMBER(SEARCH("T_B_u*ICE*DSL*s1",[1]OUT_TransportEnergyCons!$A$4:$A$10000))*1,[1]OUT_TransportEnergyCons!D$4:D$10000))*1000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(SUMPRODUCT(("var_ncap"=[1]OUT_TransportEnergyCons!$B$4:$B$10000)*1,ISNUMBER(SEARCH("T_B_u*ICE*DSL*s1",[1]OUT_TransportEnergyCons!$A$4:$A$10000))*1,[1]OUT_TransportEnergyCons!E$4:E$10000))*1000</f>
        <v>0.48122570369022499</v>
      </c>
      <c r="H2175" s="1" cm="1">
        <f t="array" ref="H2175">(SUMPRODUCT(("var_ncap"=[1]OUT_TransportEnergyCons!$B$4:$B$10000)*1,ISNUMBER(SEARCH("T_B_u*ICE*DSL*s1",[1]OUT_TransportEnergyCons!$A$4:$A$10000))*1,[1]OUT_TransportEnergyCons!F$4:F$10000))*1000</f>
        <v>0.52105749392783796</v>
      </c>
      <c r="I2175" s="1" cm="1">
        <f t="array" ref="I2175">(SUMPRODUCT(("var_ncap"=[1]OUT_TransportEnergyCons!$B$4:$B$10000)*1,ISNUMBER(SEARCH("T_B_u*ICE*DSL*s1",[1]OUT_TransportEnergyCons!$A$4:$A$10000))*1,[1]OUT_TransportEnergyCons!G$4:G$10000))*1000</f>
        <v>0</v>
      </c>
      <c r="J2175" s="1" cm="1">
        <f t="array" ref="J2175">(SUMPRODUCT(("var_ncap"=[1]OUT_TransportEnergyCons!$B$4:$B$10000)*1,ISNUMBER(SEARCH("T_B_u*ICE*DSL*s1",[1]OUT_TransportEnergyCons!$A$4:$A$10000))*1,[1]OUT_TransportEnergyCons!H$4:H$10000))*1000</f>
        <v>0</v>
      </c>
      <c r="K2175" s="1" cm="1">
        <f t="array" ref="K2175">(SUMPRODUCT(("var_ncap"=[1]OUT_TransportEnergyCons!$B$4:$B$10000)*1,ISNUMBER(SEARCH("T_B_u*ICE*DSL*s1",[1]OUT_TransportEnergyCons!$A$4:$A$10000))*1,[1]OUT_TransportEnergyCons!I$4:I$10000))*1000</f>
        <v>0</v>
      </c>
    </row>
    <row r="2176" spans="2:11" x14ac:dyDescent="0.35">
      <c r="B2176" s="5" t="str">
        <f t="shared" si="1375"/>
        <v>SPS1</v>
      </c>
      <c r="C2176" s="5" t="str">
        <f t="shared" si="1376"/>
        <v>CH</v>
      </c>
      <c r="D2176" t="s">
        <v>2311</v>
      </c>
      <c r="E2176" t="s">
        <v>2000</v>
      </c>
      <c r="F2176" s="1" cm="1">
        <f t="array" ref="F2176">(SUMPRODUCT(("var_ncap"=[1]OUT_TransportEnergyCons!$B$4:$B$10000)*1,ISNUMBER(SEARCH("T_B_u*ICE*DSL*s2",[1]OUT_TransportEnergyCons!$A$4:$A$10000))*1,[1]OUT_TransportEnergyCons!D$4:D$10000))*1000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(SUMPRODUCT(("var_ncap"=[1]OUT_TransportEnergyCons!$B$4:$B$10000)*1,ISNUMBER(SEARCH("T_B_u*ICE*DSL*s2",[1]OUT_TransportEnergyCons!$A$4:$A$10000))*1,[1]OUT_TransportEnergyCons!E$4:E$10000))*1000</f>
        <v>6.8936689059790803E-3</v>
      </c>
      <c r="H2176" s="1" cm="1">
        <f t="array" ref="H2176">(SUMPRODUCT(("var_ncap"=[1]OUT_TransportEnergyCons!$B$4:$B$10000)*1,ISNUMBER(SEARCH("T_B_u*ICE*DSL*s2",[1]OUT_TransportEnergyCons!$A$4:$A$10000))*1,[1]OUT_TransportEnergyCons!F$4:F$10000))*1000</f>
        <v>0.18185461001550199</v>
      </c>
      <c r="I2176" s="1" cm="1">
        <f t="array" ref="I2176">(SUMPRODUCT(("var_ncap"=[1]OUT_TransportEnergyCons!$B$4:$B$10000)*1,ISNUMBER(SEARCH("T_B_u*ICE*DSL*s2",[1]OUT_TransportEnergyCons!$A$4:$A$10000))*1,[1]OUT_TransportEnergyCons!G$4:G$10000))*1000</f>
        <v>0</v>
      </c>
      <c r="J2176" s="1" cm="1">
        <f t="array" ref="J2176">(SUMPRODUCT(("var_ncap"=[1]OUT_TransportEnergyCons!$B$4:$B$10000)*1,ISNUMBER(SEARCH("T_B_u*ICE*DSL*s2",[1]OUT_TransportEnergyCons!$A$4:$A$10000))*1,[1]OUT_TransportEnergyCons!H$4:H$10000))*1000</f>
        <v>0</v>
      </c>
      <c r="K2176" s="1" cm="1">
        <f t="array" ref="K2176">(SUMPRODUCT(("var_ncap"=[1]OUT_TransportEnergyCons!$B$4:$B$10000)*1,ISNUMBER(SEARCH("T_B_u*ICE*DSL*s2",[1]OUT_TransportEnergyCons!$A$4:$A$10000))*1,[1]OUT_TransportEnergyCons!I$4:I$10000))*1000</f>
        <v>0</v>
      </c>
    </row>
    <row r="2177" spans="2:11" x14ac:dyDescent="0.35">
      <c r="B2177" s="5" t="str">
        <f t="shared" si="1375"/>
        <v>SPS1</v>
      </c>
      <c r="C2177" s="5" t="str">
        <f t="shared" si="1376"/>
        <v>CH</v>
      </c>
      <c r="D2177" t="s">
        <v>2312</v>
      </c>
      <c r="E2177" t="s">
        <v>2000</v>
      </c>
      <c r="F2177" s="1" cm="1">
        <f t="array" ref="F2177">(SUMPRODUCT(("var_ncap"=[1]OUT_TransportEnergyCons!$B$4:$B$10000)*1,ISNUMBER(SEARCH("T_B_u*ICE*DSL*s3",[1]OUT_TransportEnergyCons!$A$4:$A$10000))*1,[1]OUT_TransportEnergyCons!D$4:D$10000))*1000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(SUMPRODUCT(("var_ncap"=[1]OUT_TransportEnergyCons!$B$4:$B$10000)*1,ISNUMBER(SEARCH("T_B_u*ICE*DSL*s3",[1]OUT_TransportEnergyCons!$A$4:$A$10000))*1,[1]OUT_TransportEnergyCons!E$4:E$10000))*1000</f>
        <v>4.7088202168809302E-2</v>
      </c>
      <c r="H2177" s="1" cm="1">
        <f t="array" ref="H2177">(SUMPRODUCT(("var_ncap"=[1]OUT_TransportEnergyCons!$B$4:$B$10000)*1,ISNUMBER(SEARCH("T_B_u*ICE*DSL*s3",[1]OUT_TransportEnergyCons!$A$4:$A$10000))*1,[1]OUT_TransportEnergyCons!F$4:F$10000))*1000</f>
        <v>0.79835268860880304</v>
      </c>
      <c r="I2177" s="1" cm="1">
        <f t="array" ref="I2177">(SUMPRODUCT(("var_ncap"=[1]OUT_TransportEnergyCons!$B$4:$B$10000)*1,ISNUMBER(SEARCH("T_B_u*ICE*DSL*s3",[1]OUT_TransportEnergyCons!$A$4:$A$10000))*1,[1]OUT_TransportEnergyCons!G$4:G$10000))*1000</f>
        <v>0</v>
      </c>
      <c r="J2177" s="1" cm="1">
        <f t="array" ref="J2177">(SUMPRODUCT(("var_ncap"=[1]OUT_TransportEnergyCons!$B$4:$B$10000)*1,ISNUMBER(SEARCH("T_B_u*ICE*DSL*s3",[1]OUT_TransportEnergyCons!$A$4:$A$10000))*1,[1]OUT_TransportEnergyCons!H$4:H$10000))*1000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(SUMPRODUCT(("var_ncap"=[1]OUT_TransportEnergyCons!$B$4:$B$10000)*1,ISNUMBER(SEARCH("T_B_u*ICE*DSL*s3",[1]OUT_TransportEnergyCons!$A$4:$A$10000))*1,[1]OUT_TransportEnergyCons!I$4:I$10000))*1000</f>
        <v>0</v>
      </c>
    </row>
    <row r="2178" spans="2:11" x14ac:dyDescent="0.35">
      <c r="B2178" s="5" t="str">
        <f t="shared" si="1375"/>
        <v>SPS1</v>
      </c>
      <c r="C2178" s="5" t="str">
        <f t="shared" si="1376"/>
        <v>CH</v>
      </c>
      <c r="D2178" t="s">
        <v>2313</v>
      </c>
      <c r="E2178" t="s">
        <v>2000</v>
      </c>
      <c r="F2178" s="1" cm="1">
        <f t="array" ref="F2178">(SUMPRODUCT(("var_ncap"=[1]OUT_TransportEnergyCons!$B$4:$B$10000)*1,ISNUMBER(SEARCH("T_B_u*ICE*DSL*s4",[1]OUT_TransportEnergyCons!$A$4:$A$10000))*1,[1]OUT_TransportEnergyCons!D$4:D$10000))*1000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(SUMPRODUCT(("var_ncap"=[1]OUT_TransportEnergyCons!$B$4:$B$10000)*1,ISNUMBER(SEARCH("T_B_u*ICE*DSL*s4",[1]OUT_TransportEnergyCons!$A$4:$A$10000))*1,[1]OUT_TransportEnergyCons!E$4:E$10000))*1000</f>
        <v>1.1060292052026501E-5</v>
      </c>
      <c r="H2178" s="1" cm="1">
        <f t="array" ref="H2178">(SUMPRODUCT(("var_ncap"=[1]OUT_TransportEnergyCons!$B$4:$B$10000)*1,ISNUMBER(SEARCH("T_B_u*ICE*DSL*s4",[1]OUT_TransportEnergyCons!$A$4:$A$10000))*1,[1]OUT_TransportEnergyCons!F$4:F$10000))*1000</f>
        <v>1.2529036244671299E-5</v>
      </c>
      <c r="I2178" s="1" cm="1">
        <f t="array" ref="I2178">(SUMPRODUCT(("var_ncap"=[1]OUT_TransportEnergyCons!$B$4:$B$10000)*1,ISNUMBER(SEARCH("T_B_u*ICE*DSL*s4",[1]OUT_TransportEnergyCons!$A$4:$A$10000))*1,[1]OUT_TransportEnergyCons!G$4:G$10000))*1000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(SUMPRODUCT(("var_ncap"=[1]OUT_TransportEnergyCons!$B$4:$B$10000)*1,ISNUMBER(SEARCH("T_B_u*ICE*DSL*s4",[1]OUT_TransportEnergyCons!$A$4:$A$10000))*1,[1]OUT_TransportEnergyCons!H$4:H$10000))*1000</f>
        <v>0</v>
      </c>
      <c r="K2178" s="1" cm="1">
        <f t="array" ref="K2178">(SUMPRODUCT(("var_ncap"=[1]OUT_TransportEnergyCons!$B$4:$B$10000)*1,ISNUMBER(SEARCH("T_B_u*ICE*DSL*s4",[1]OUT_TransportEnergyCons!$A$4:$A$10000))*1,[1]OUT_TransportEnergyCons!I$4:I$10000))*1000</f>
        <v>0</v>
      </c>
    </row>
    <row r="2179" spans="2:11" x14ac:dyDescent="0.35">
      <c r="B2179" s="5" t="str">
        <f t="shared" si="1375"/>
        <v>SPS1</v>
      </c>
      <c r="C2179" s="5" t="str">
        <f t="shared" si="1376"/>
        <v>CH</v>
      </c>
      <c r="D2179" t="s">
        <v>2314</v>
      </c>
      <c r="E2179" t="s">
        <v>2000</v>
      </c>
      <c r="F2179" s="1" cm="1">
        <f t="array" ref="F2179">(SUMPRODUCT(("var_ncap"=[1]OUT_TransportEnergyCons!$B$4:$B$10000)*1,ISNUMBER(SEARCH("T_B_u*ICE*nga*ext",[1]OUT_TransportEnergyCons!$A$4:$A$10000))*1,[1]OUT_TransportEnergyCons!D$4:D$10000))*1000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(SUMPRODUCT(("var_ncap"=[1]OUT_TransportEnergyCons!$B$4:$B$10000)*1,ISNUMBER(SEARCH("T_B_u*ICE*nga*ext",[1]OUT_TransportEnergyCons!$A$4:$A$10000))*1,[1]OUT_TransportEnergyCons!E$4:E$10000))*1000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(SUMPRODUCT(("var_ncap"=[1]OUT_TransportEnergyCons!$B$4:$B$10000)*1,ISNUMBER(SEARCH("T_B_u*ICE*nga*ext",[1]OUT_TransportEnergyCons!$A$4:$A$10000))*1,[1]OUT_TransportEnergyCons!F$4:F$10000))*1000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(SUMPRODUCT(("var_ncap"=[1]OUT_TransportEnergyCons!$B$4:$B$10000)*1,ISNUMBER(SEARCH("T_B_u*ICE*nga*ext",[1]OUT_TransportEnergyCons!$A$4:$A$10000))*1,[1]OUT_TransportEnergyCons!G$4:G$10000))*1000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(SUMPRODUCT(("var_ncap"=[1]OUT_TransportEnergyCons!$B$4:$B$10000)*1,ISNUMBER(SEARCH("T_B_u*ICE*nga*ext",[1]OUT_TransportEnergyCons!$A$4:$A$10000))*1,[1]OUT_TransportEnergyCons!H$4:H$10000))*1000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(SUMPRODUCT(("var_ncap"=[1]OUT_TransportEnergyCons!$B$4:$B$10000)*1,ISNUMBER(SEARCH("T_B_u*ICE*nga*ext",[1]OUT_TransportEnergyCons!$A$4:$A$10000))*1,[1]OUT_TransportEnergyCons!I$4:I$10000))*1000</f>
        <v>0</v>
      </c>
    </row>
    <row r="2180" spans="2:11" x14ac:dyDescent="0.35">
      <c r="B2180" s="5" t="str">
        <f t="shared" si="1375"/>
        <v>SPS1</v>
      </c>
      <c r="C2180" s="5" t="str">
        <f t="shared" si="1376"/>
        <v>CH</v>
      </c>
      <c r="D2180" t="s">
        <v>2315</v>
      </c>
      <c r="E2180" t="s">
        <v>2000</v>
      </c>
      <c r="F2180" s="1" cm="1">
        <f t="array" ref="F2180">(SUMPRODUCT(("var_ncap"=[1]OUT_TransportEnergyCons!$B$4:$B$10000)*1,ISNUMBER(SEARCH("T_B_u*ICE*nga*s1",[1]OUT_TransportEnergyCons!$A$4:$A$10000))*1,[1]OUT_TransportEnergyCons!D$4:D$10000))*1000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(SUMPRODUCT(("var_ncap"=[1]OUT_TransportEnergyCons!$B$4:$B$10000)*1,ISNUMBER(SEARCH("T_B_u*ICE*nga*s1",[1]OUT_TransportEnergyCons!$A$4:$A$10000))*1,[1]OUT_TransportEnergyCons!E$4:E$10000))*1000</f>
        <v>4.4058209260160099E-4</v>
      </c>
      <c r="H2180" s="1" cm="1">
        <f t="array" ref="H2180">(SUMPRODUCT(("var_ncap"=[1]OUT_TransportEnergyCons!$B$4:$B$10000)*1,ISNUMBER(SEARCH("T_B_u*ICE*nga*s1",[1]OUT_TransportEnergyCons!$A$4:$A$10000))*1,[1]OUT_TransportEnergyCons!F$4:F$10000))*1000</f>
        <v>7.5571120883595997E-4</v>
      </c>
      <c r="I2180" s="1" cm="1">
        <f t="array" ref="I2180">(SUMPRODUCT(("var_ncap"=[1]OUT_TransportEnergyCons!$B$4:$B$10000)*1,ISNUMBER(SEARCH("T_B_u*ICE*nga*s1",[1]OUT_TransportEnergyCons!$A$4:$A$10000))*1,[1]OUT_TransportEnergyCons!G$4:G$10000))*1000</f>
        <v>1.22859470589169E-5</v>
      </c>
      <c r="J2180" s="1" cm="1">
        <f t="array" ref="J2180">(SUMPRODUCT(("var_ncap"=[1]OUT_TransportEnergyCons!$B$4:$B$10000)*1,ISNUMBER(SEARCH("T_B_u*ICE*nga*s1",[1]OUT_TransportEnergyCons!$A$4:$A$10000))*1,[1]OUT_TransportEnergyCons!H$4:H$10000))*1000</f>
        <v>1.0099028167722001E-5</v>
      </c>
      <c r="K2180" s="1" cm="1">
        <f t="array" ref="K2180">(SUMPRODUCT(("var_ncap"=[1]OUT_TransportEnergyCons!$B$4:$B$10000)*1,ISNUMBER(SEARCH("T_B_u*ICE*nga*s1",[1]OUT_TransportEnergyCons!$A$4:$A$10000))*1,[1]OUT_TransportEnergyCons!I$4:I$10000))*1000</f>
        <v>0</v>
      </c>
    </row>
    <row r="2181" spans="2:11" x14ac:dyDescent="0.35">
      <c r="B2181" s="5" t="str">
        <f t="shared" si="1375"/>
        <v>SPS1</v>
      </c>
      <c r="C2181" s="5" t="str">
        <f t="shared" si="1376"/>
        <v>CH</v>
      </c>
      <c r="D2181" t="s">
        <v>2316</v>
      </c>
      <c r="E2181" t="s">
        <v>2000</v>
      </c>
      <c r="F2181" s="1" cm="1">
        <f t="array" ref="F2181">(SUMPRODUCT(("var_ncap"=[1]OUT_TransportEnergyCons!$B$4:$B$10000)*1,ISNUMBER(SEARCH("T_B_u*ICE*nga*s2",[1]OUT_TransportEnergyCons!$A$4:$A$10000))*1,[1]OUT_TransportEnergyCons!D$4:D$10000))*1000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(SUMPRODUCT(("var_ncap"=[1]OUT_TransportEnergyCons!$B$4:$B$10000)*1,ISNUMBER(SEARCH("T_B_u*ICE*nga*s2",[1]OUT_TransportEnergyCons!$A$4:$A$10000))*1,[1]OUT_TransportEnergyCons!E$4:E$10000))*1000</f>
        <v>1.8202632249589501E-4</v>
      </c>
      <c r="H2181" s="1" cm="1">
        <f t="array" ref="H2181">(SUMPRODUCT(("var_ncap"=[1]OUT_TransportEnergyCons!$B$4:$B$10000)*1,ISNUMBER(SEARCH("T_B_u*ICE*nga*s2",[1]OUT_TransportEnergyCons!$A$4:$A$10000))*1,[1]OUT_TransportEnergyCons!F$4:F$10000))*1000</f>
        <v>1.1338500149834301E-3</v>
      </c>
      <c r="I2181" s="1" cm="1">
        <f t="array" ref="I2181">(SUMPRODUCT(("var_ncap"=[1]OUT_TransportEnergyCons!$B$4:$B$10000)*1,ISNUMBER(SEARCH("T_B_u*ICE*nga*s2",[1]OUT_TransportEnergyCons!$A$4:$A$10000))*1,[1]OUT_TransportEnergyCons!G$4:G$10000))*1000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(SUMPRODUCT(("var_ncap"=[1]OUT_TransportEnergyCons!$B$4:$B$10000)*1,ISNUMBER(SEARCH("T_B_u*ICE*nga*s2",[1]OUT_TransportEnergyCons!$A$4:$A$10000))*1,[1]OUT_TransportEnergyCons!H$4:H$10000))*1000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(SUMPRODUCT(("var_ncap"=[1]OUT_TransportEnergyCons!$B$4:$B$10000)*1,ISNUMBER(SEARCH("T_B_u*ICE*nga*s2",[1]OUT_TransportEnergyCons!$A$4:$A$10000))*1,[1]OUT_TransportEnergyCons!I$4:I$10000))*1000</f>
        <v>0</v>
      </c>
    </row>
    <row r="2182" spans="2:11" x14ac:dyDescent="0.35">
      <c r="B2182" s="5" t="str">
        <f t="shared" si="1375"/>
        <v>SPS1</v>
      </c>
      <c r="C2182" s="5" t="str">
        <f t="shared" si="1376"/>
        <v>CH</v>
      </c>
      <c r="D2182" t="s">
        <v>2317</v>
      </c>
      <c r="E2182" t="s">
        <v>2000</v>
      </c>
      <c r="F2182" s="1" cm="1">
        <f t="array" ref="F2182">(SUMPRODUCT(("var_ncap"=[1]OUT_TransportEnergyCons!$B$4:$B$10000)*1,ISNUMBER(SEARCH("T_B_u*ICE*nga*s3",[1]OUT_TransportEnergyCons!$A$4:$A$10000))*1,[1]OUT_TransportEnergyCons!D$4:D$10000))*1000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(SUMPRODUCT(("var_ncap"=[1]OUT_TransportEnergyCons!$B$4:$B$10000)*1,ISNUMBER(SEARCH("T_B_u*ICE*nga*s3",[1]OUT_TransportEnergyCons!$A$4:$A$10000))*1,[1]OUT_TransportEnergyCons!E$4:E$10000))*1000</f>
        <v>9.973900843623671E-5</v>
      </c>
      <c r="H2182" s="1" cm="1">
        <f t="array" ref="H2182">(SUMPRODUCT(("var_ncap"=[1]OUT_TransportEnergyCons!$B$4:$B$10000)*1,ISNUMBER(SEARCH("T_B_u*ICE*nga*s3",[1]OUT_TransportEnergyCons!$A$4:$A$10000))*1,[1]OUT_TransportEnergyCons!F$4:F$10000))*1000</f>
        <v>3.0992757857309303E-2</v>
      </c>
      <c r="I2182" s="1" cm="1">
        <f t="array" ref="I2182">(SUMPRODUCT(("var_ncap"=[1]OUT_TransportEnergyCons!$B$4:$B$10000)*1,ISNUMBER(SEARCH("T_B_u*ICE*nga*s3",[1]OUT_TransportEnergyCons!$A$4:$A$10000))*1,[1]OUT_TransportEnergyCons!G$4:G$10000))*1000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(SUMPRODUCT(("var_ncap"=[1]OUT_TransportEnergyCons!$B$4:$B$10000)*1,ISNUMBER(SEARCH("T_B_u*ICE*nga*s3",[1]OUT_TransportEnergyCons!$A$4:$A$10000))*1,[1]OUT_TransportEnergyCons!H$4:H$10000))*1000</f>
        <v>1.55420695665757E-5</v>
      </c>
      <c r="K2182" s="1" cm="1">
        <f t="array" ref="K2182">(SUMPRODUCT(("var_ncap"=[1]OUT_TransportEnergyCons!$B$4:$B$10000)*1,ISNUMBER(SEARCH("T_B_u*ICE*nga*s3",[1]OUT_TransportEnergyCons!$A$4:$A$10000))*1,[1]OUT_TransportEnergyCons!I$4:I$10000))*1000</f>
        <v>0</v>
      </c>
    </row>
    <row r="2183" spans="2:11" x14ac:dyDescent="0.35">
      <c r="B2183" s="5" t="str">
        <f t="shared" si="1375"/>
        <v>SPS1</v>
      </c>
      <c r="C2183" s="5" t="str">
        <f t="shared" si="1376"/>
        <v>CH</v>
      </c>
      <c r="D2183" t="s">
        <v>2318</v>
      </c>
      <c r="E2183" t="s">
        <v>2000</v>
      </c>
      <c r="F2183" s="1" cm="1">
        <f t="array" ref="F2183">(SUMPRODUCT(("var_ncap"=[1]OUT_TransportEnergyCons!$B$4:$B$10000)*1,ISNUMBER(SEARCH("T_B_u*ICE*nga*s4",[1]OUT_TransportEnergyCons!$A$4:$A$10000))*1,[1]OUT_TransportEnergyCons!D$4:D$10000))*1000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(SUMPRODUCT(("var_ncap"=[1]OUT_TransportEnergyCons!$B$4:$B$10000)*1,ISNUMBER(SEARCH("T_B_u*ICE*nga*s4",[1]OUT_TransportEnergyCons!$A$4:$A$10000))*1,[1]OUT_TransportEnergyCons!E$4:E$10000))*1000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(SUMPRODUCT(("var_ncap"=[1]OUT_TransportEnergyCons!$B$4:$B$10000)*1,ISNUMBER(SEARCH("T_B_u*ICE*nga*s4",[1]OUT_TransportEnergyCons!$A$4:$A$10000))*1,[1]OUT_TransportEnergyCons!F$4:F$10000))*1000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(SUMPRODUCT(("var_ncap"=[1]OUT_TransportEnergyCons!$B$4:$B$10000)*1,ISNUMBER(SEARCH("T_B_u*ICE*nga*s4",[1]OUT_TransportEnergyCons!$A$4:$A$10000))*1,[1]OUT_TransportEnergyCons!G$4:G$10000))*1000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(SUMPRODUCT(("var_ncap"=[1]OUT_TransportEnergyCons!$B$4:$B$10000)*1,ISNUMBER(SEARCH("T_B_u*ICE*nga*s4",[1]OUT_TransportEnergyCons!$A$4:$A$10000))*1,[1]OUT_TransportEnergyCons!H$4:H$10000))*1000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(SUMPRODUCT(("var_ncap"=[1]OUT_TransportEnergyCons!$B$4:$B$10000)*1,ISNUMBER(SEARCH("T_B_u*ICE*nga*s4",[1]OUT_TransportEnergyCons!$A$4:$A$10000))*1,[1]OUT_TransportEnergyCons!I$4:I$10000))*1000</f>
        <v>0</v>
      </c>
    </row>
    <row r="2184" spans="2:11" x14ac:dyDescent="0.35">
      <c r="B2184" s="5" t="str">
        <f t="shared" si="1375"/>
        <v>SPS1</v>
      </c>
      <c r="C2184" s="5" t="str">
        <f t="shared" si="1376"/>
        <v>CH</v>
      </c>
      <c r="D2184" s="2" t="s">
        <v>2319</v>
      </c>
      <c r="E2184" s="2" t="s">
        <v>2000</v>
      </c>
      <c r="F2184" s="3">
        <f t="shared" ref="F2184:K2184" si="1377">SUM(F2185:F2207)</f>
        <v>0</v>
      </c>
      <c r="G2184" s="3">
        <f t="shared" si="1377"/>
        <v>0.50068459471787308</v>
      </c>
      <c r="H2184" s="3">
        <f t="shared" si="1377"/>
        <v>0.20620401845104</v>
      </c>
      <c r="I2184" s="3">
        <f t="shared" si="1377"/>
        <v>2.925399095496255</v>
      </c>
      <c r="J2184" s="3">
        <f t="shared" si="1377"/>
        <v>1.1494184657477631</v>
      </c>
      <c r="K2184" s="3">
        <f t="shared" si="1377"/>
        <v>2.1180414441797337</v>
      </c>
    </row>
    <row r="2185" spans="2:11" x14ac:dyDescent="0.35">
      <c r="B2185" s="5" t="str">
        <f t="shared" si="1375"/>
        <v>SPS1</v>
      </c>
      <c r="C2185" s="5" t="str">
        <f t="shared" si="1376"/>
        <v>CH</v>
      </c>
      <c r="D2185" t="s">
        <v>2320</v>
      </c>
      <c r="E2185" t="s">
        <v>2000</v>
      </c>
      <c r="F2185" s="1" cm="1">
        <f t="array" ref="F2185">(SUMPRODUCT(("var_ncap"=[1]OUT_TransportEnergyCons!$B$4:$B$10000)*1,ISNUMBER(SEARCH("T_b_c*bev*ext",[1]OUT_TransportEnergyCons!$A$4:$A$10000))*1,[1]OUT_TransportEnergyCons!D$4:D$10000))*1000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(SUMPRODUCT(("var_ncap"=[1]OUT_TransportEnergyCons!$B$4:$B$10000)*1,ISNUMBER(SEARCH("T_b_c*bev*ext",[1]OUT_TransportEnergyCons!$A$4:$A$10000))*1,[1]OUT_TransportEnergyCons!E$4:E$10000))*1000</f>
        <v>0</v>
      </c>
      <c r="H2185" s="1" cm="1">
        <f t="array" ref="H2185">(SUMPRODUCT(("var_ncap"=[1]OUT_TransportEnergyCons!$B$4:$B$10000)*1,ISNUMBER(SEARCH("T_b_c*bev*ext",[1]OUT_TransportEnergyCons!$A$4:$A$10000))*1,[1]OUT_TransportEnergyCons!F$4:F$10000))*1000</f>
        <v>0</v>
      </c>
      <c r="I2185" s="1" cm="1">
        <f t="array" ref="I2185">(SUMPRODUCT(("var_ncap"=[1]OUT_TransportEnergyCons!$B$4:$B$10000)*1,ISNUMBER(SEARCH("T_b_c*bev*ext",[1]OUT_TransportEnergyCons!$A$4:$A$10000))*1,[1]OUT_TransportEnergyCons!G$4:G$10000))*1000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(SUMPRODUCT(("var_ncap"=[1]OUT_TransportEnergyCons!$B$4:$B$10000)*1,ISNUMBER(SEARCH("T_b_c*bev*ext",[1]OUT_TransportEnergyCons!$A$4:$A$10000))*1,[1]OUT_TransportEnergyCons!H$4:H$10000))*1000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(SUMPRODUCT(("var_ncap"=[1]OUT_TransportEnergyCons!$B$4:$B$10000)*1,ISNUMBER(SEARCH("T_b_c*bev*ext",[1]OUT_TransportEnergyCons!$A$4:$A$10000))*1,[1]OUT_TransportEnergyCons!I$4:I$10000))*1000</f>
        <v>0</v>
      </c>
    </row>
    <row r="2186" spans="2:11" x14ac:dyDescent="0.35">
      <c r="B2186" s="5" t="str">
        <f t="shared" si="1375"/>
        <v>SPS1</v>
      </c>
      <c r="C2186" s="5" t="str">
        <f t="shared" si="1376"/>
        <v>CH</v>
      </c>
      <c r="D2186" t="s">
        <v>2321</v>
      </c>
      <c r="E2186" t="s">
        <v>2000</v>
      </c>
      <c r="F2186" s="1" cm="1">
        <f t="array" ref="F2186">(SUMPRODUCT(("var_ncap"=[1]OUT_TransportEnergyCons!$B$4:$B$10000)*1,ISNUMBER(SEARCH("T_b_c*bev*s1",[1]OUT_TransportEnergyCons!$A$4:$A$10000))*1,[1]OUT_TransportEnergyCons!D$4:D$10000))*1000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(SUMPRODUCT(("var_ncap"=[1]OUT_TransportEnergyCons!$B$4:$B$10000)*1,ISNUMBER(SEARCH("T_b_c*bev*s1",[1]OUT_TransportEnergyCons!$A$4:$A$10000))*1,[1]OUT_TransportEnergyCons!E$4:E$10000))*1000</f>
        <v>6.1774798492090707E-3</v>
      </c>
      <c r="H2186" s="1" cm="1">
        <f t="array" ref="H2186">(SUMPRODUCT(("var_ncap"=[1]OUT_TransportEnergyCons!$B$4:$B$10000)*1,ISNUMBER(SEARCH("T_b_c*bev*s1",[1]OUT_TransportEnergyCons!$A$4:$A$10000))*1,[1]OUT_TransportEnergyCons!F$4:F$10000))*1000</f>
        <v>4.5222887161511403E-3</v>
      </c>
      <c r="I2186" s="1" cm="1">
        <f t="array" ref="I2186">(SUMPRODUCT(("var_ncap"=[1]OUT_TransportEnergyCons!$B$4:$B$10000)*1,ISNUMBER(SEARCH("T_b_c*bev*s1",[1]OUT_TransportEnergyCons!$A$4:$A$10000))*1,[1]OUT_TransportEnergyCons!G$4:G$10000))*1000</f>
        <v>1.4113364595212501</v>
      </c>
      <c r="J2186" s="1" cm="1">
        <f t="array" ref="J2186">(SUMPRODUCT(("var_ncap"=[1]OUT_TransportEnergyCons!$B$4:$B$10000)*1,ISNUMBER(SEARCH("T_b_c*bev*s1",[1]OUT_TransportEnergyCons!$A$4:$A$10000))*1,[1]OUT_TransportEnergyCons!H$4:H$10000))*1000</f>
        <v>1.2997544282515198E-2</v>
      </c>
      <c r="K2186" s="1" cm="1">
        <f t="array" ref="K2186">(SUMPRODUCT(("var_ncap"=[1]OUT_TransportEnergyCons!$B$4:$B$10000)*1,ISNUMBER(SEARCH("T_b_c*bev*s1",[1]OUT_TransportEnergyCons!$A$4:$A$10000))*1,[1]OUT_TransportEnergyCons!I$4:I$10000))*1000</f>
        <v>1.1982948720189999</v>
      </c>
    </row>
    <row r="2187" spans="2:11" x14ac:dyDescent="0.35">
      <c r="B2187" s="5" t="str">
        <f t="shared" si="1375"/>
        <v>SPS1</v>
      </c>
      <c r="C2187" s="5" t="str">
        <f t="shared" si="1376"/>
        <v>CH</v>
      </c>
      <c r="D2187" t="s">
        <v>2322</v>
      </c>
      <c r="E2187" t="s">
        <v>2000</v>
      </c>
      <c r="F2187" s="1" cm="1">
        <f t="array" ref="F2187">(SUMPRODUCT(("var_ncap"=[1]OUT_TransportEnergyCons!$B$4:$B$10000)*1,ISNUMBER(SEARCH("T_b_c*bev*s2",[1]OUT_TransportEnergyCons!$A$4:$A$10000))*1,[1]OUT_TransportEnergyCons!D$4:D$10000))*1000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(SUMPRODUCT(("var_ncap"=[1]OUT_TransportEnergyCons!$B$4:$B$10000)*1,ISNUMBER(SEARCH("T_b_c*bev*s2",[1]OUT_TransportEnergyCons!$A$4:$A$10000))*1,[1]OUT_TransportEnergyCons!E$4:E$10000))*1000</f>
        <v>3.8618478422129996E-4</v>
      </c>
      <c r="H2187" s="1" cm="1">
        <f t="array" ref="H2187">(SUMPRODUCT(("var_ncap"=[1]OUT_TransportEnergyCons!$B$4:$B$10000)*1,ISNUMBER(SEARCH("T_b_c*bev*s2",[1]OUT_TransportEnergyCons!$A$4:$A$10000))*1,[1]OUT_TransportEnergyCons!F$4:F$10000))*1000</f>
        <v>7.0461138593064395E-4</v>
      </c>
      <c r="I2187" s="1" cm="1">
        <f t="array" ref="I2187">(SUMPRODUCT(("var_ncap"=[1]OUT_TransportEnergyCons!$B$4:$B$10000)*1,ISNUMBER(SEARCH("T_b_c*bev*s2",[1]OUT_TransportEnergyCons!$A$4:$A$10000))*1,[1]OUT_TransportEnergyCons!G$4:G$10000))*1000</f>
        <v>1.2467884085173802</v>
      </c>
      <c r="J2187" s="1" cm="1">
        <f t="array" ref="J2187">(SUMPRODUCT(("var_ncap"=[1]OUT_TransportEnergyCons!$B$4:$B$10000)*1,ISNUMBER(SEARCH("T_b_c*bev*s2",[1]OUT_TransportEnergyCons!$A$4:$A$10000))*1,[1]OUT_TransportEnergyCons!H$4:H$10000))*1000</f>
        <v>0.93335099549282308</v>
      </c>
      <c r="K2187" s="1" cm="1">
        <f t="array" ref="K2187">(SUMPRODUCT(("var_ncap"=[1]OUT_TransportEnergyCons!$B$4:$B$10000)*1,ISNUMBER(SEARCH("T_b_c*bev*s2",[1]OUT_TransportEnergyCons!$A$4:$A$10000))*1,[1]OUT_TransportEnergyCons!I$4:I$10000))*1000</f>
        <v>0.7287081451061419</v>
      </c>
    </row>
    <row r="2188" spans="2:11" x14ac:dyDescent="0.35">
      <c r="B2188" s="5" t="str">
        <f t="shared" si="1375"/>
        <v>SPS1</v>
      </c>
      <c r="C2188" s="5" t="str">
        <f t="shared" si="1376"/>
        <v>CH</v>
      </c>
      <c r="D2188" t="s">
        <v>2323</v>
      </c>
      <c r="E2188" t="s">
        <v>2000</v>
      </c>
      <c r="F2188" s="1" cm="1">
        <f t="array" ref="F2188">(SUMPRODUCT(("var_ncap"=[1]OUT_TransportEnergyCons!$B$4:$B$10000)*1,ISNUMBER(SEARCH("T_b_c*bev*s3",[1]OUT_TransportEnergyCons!$A$4:$A$10000))*1,[1]OUT_TransportEnergyCons!D$4:D$10000))*1000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(SUMPRODUCT(("var_ncap"=[1]OUT_TransportEnergyCons!$B$4:$B$10000)*1,ISNUMBER(SEARCH("T_b_c*bev*s3",[1]OUT_TransportEnergyCons!$A$4:$A$10000))*1,[1]OUT_TransportEnergyCons!E$4:E$10000))*1000</f>
        <v>1.60275617281317E-4</v>
      </c>
      <c r="H2188" s="1" cm="1">
        <f t="array" ref="H2188">(SUMPRODUCT(("var_ncap"=[1]OUT_TransportEnergyCons!$B$4:$B$10000)*1,ISNUMBER(SEARCH("T_b_c*bev*s3",[1]OUT_TransportEnergyCons!$A$4:$A$10000))*1,[1]OUT_TransportEnergyCons!F$4:F$10000))*1000</f>
        <v>2.45477355536498E-4</v>
      </c>
      <c r="I2188" s="1" cm="1">
        <f t="array" ref="I2188">(SUMPRODUCT(("var_ncap"=[1]OUT_TransportEnergyCons!$B$4:$B$10000)*1,ISNUMBER(SEARCH("T_b_c*bev*s3",[1]OUT_TransportEnergyCons!$A$4:$A$10000))*1,[1]OUT_TransportEnergyCons!G$4:G$10000))*1000</f>
        <v>0.26713798774662501</v>
      </c>
      <c r="J2188" s="1" cm="1">
        <f t="array" ref="J2188">(SUMPRODUCT(("var_ncap"=[1]OUT_TransportEnergyCons!$B$4:$B$10000)*1,ISNUMBER(SEARCH("T_b_c*bev*s3",[1]OUT_TransportEnergyCons!$A$4:$A$10000))*1,[1]OUT_TransportEnergyCons!H$4:H$10000))*1000</f>
        <v>0.20255269070305101</v>
      </c>
      <c r="K2188" s="1" cm="1">
        <f t="array" ref="K2188">(SUMPRODUCT(("var_ncap"=[1]OUT_TransportEnergyCons!$B$4:$B$10000)*1,ISNUMBER(SEARCH("T_b_c*bev*s3",[1]OUT_TransportEnergyCons!$A$4:$A$10000))*1,[1]OUT_TransportEnergyCons!I$4:I$10000))*1000</f>
        <v>0.190952667199661</v>
      </c>
    </row>
    <row r="2189" spans="2:11" x14ac:dyDescent="0.35">
      <c r="B2189" s="5" t="str">
        <f t="shared" si="1375"/>
        <v>SPS1</v>
      </c>
      <c r="C2189" s="5" t="str">
        <f t="shared" si="1376"/>
        <v>CH</v>
      </c>
      <c r="D2189" t="s">
        <v>2324</v>
      </c>
      <c r="E2189" t="s">
        <v>2000</v>
      </c>
      <c r="F2189" s="1" cm="1">
        <f t="array" ref="F2189">(SUMPRODUCT(("var_ncap"=[1]OUT_TransportEnergyCons!$B$4:$B$10000)*1,ISNUMBER(SEARCH("T_b_c*bev*s4",[1]OUT_TransportEnergyCons!$A$4:$A$10000))*1,[1]OUT_TransportEnergyCons!D$4:D$10000))*1000</f>
        <v>0</v>
      </c>
      <c r="G2189" s="1" cm="1">
        <f t="array" ref="G2189">(SUMPRODUCT(("var_ncap"=[1]OUT_TransportEnergyCons!$B$4:$B$10000)*1,ISNUMBER(SEARCH("T_b_c*bev*s4",[1]OUT_TransportEnergyCons!$A$4:$A$10000))*1,[1]OUT_TransportEnergyCons!E$4:E$10000))*1000</f>
        <v>8.2929040896106602E-5</v>
      </c>
      <c r="H2189" s="1" cm="1">
        <f t="array" ref="H2189">(SUMPRODUCT(("var_ncap"=[1]OUT_TransportEnergyCons!$B$4:$B$10000)*1,ISNUMBER(SEARCH("T_b_c*bev*s4",[1]OUT_TransportEnergyCons!$A$4:$A$10000))*1,[1]OUT_TransportEnergyCons!F$4:F$10000))*1000</f>
        <v>7.5352821624667695E-5</v>
      </c>
      <c r="I2189" s="1" cm="1">
        <f t="array" ref="I2189">(SUMPRODUCT(("var_ncap"=[1]OUT_TransportEnergyCons!$B$4:$B$10000)*1,ISNUMBER(SEARCH("T_b_c*bev*s4",[1]OUT_TransportEnergyCons!$A$4:$A$10000))*1,[1]OUT_TransportEnergyCons!G$4:G$10000))*1000</f>
        <v>7.4616964813930306E-5</v>
      </c>
      <c r="J2189" s="1" cm="1">
        <f t="array" ref="J2189">(SUMPRODUCT(("var_ncap"=[1]OUT_TransportEnergyCons!$B$4:$B$10000)*1,ISNUMBER(SEARCH("T_b_c*bev*s4",[1]OUT_TransportEnergyCons!$A$4:$A$10000))*1,[1]OUT_TransportEnergyCons!H$4:H$10000))*1000</f>
        <v>1.9554508682033498E-4</v>
      </c>
      <c r="K2189" s="1" cm="1">
        <f t="array" ref="K2189">(SUMPRODUCT(("var_ncap"=[1]OUT_TransportEnergyCons!$B$4:$B$10000)*1,ISNUMBER(SEARCH("T_b_c*bev*s4",[1]OUT_TransportEnergyCons!$A$4:$A$10000))*1,[1]OUT_TransportEnergyCons!I$4:I$10000))*1000</f>
        <v>8.5759854931077094E-5</v>
      </c>
    </row>
    <row r="2190" spans="2:11" x14ac:dyDescent="0.35">
      <c r="B2190" s="5" t="str">
        <f t="shared" si="1375"/>
        <v>SPS1</v>
      </c>
      <c r="C2190" s="5" t="str">
        <f t="shared" si="1376"/>
        <v>CH</v>
      </c>
      <c r="D2190" t="s">
        <v>2325</v>
      </c>
      <c r="E2190" t="s">
        <v>2000</v>
      </c>
      <c r="F2190" s="1" cm="1">
        <f t="array" ref="F2190">(SUMPRODUCT(("var_ncap"=[1]OUT_TransportEnergyCons!$B$4:$B$10000)*1,ISNUMBER(SEARCH("T_b_c*h2o*s1",[1]OUT_TransportEnergyCons!$A$4:$A$10000))*1,[1]OUT_TransportEnergyCons!D$4:D$10000))*1000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(SUMPRODUCT(("var_ncap"=[1]OUT_TransportEnergyCons!$B$4:$B$10000)*1,ISNUMBER(SEARCH("T_b_c*h2o*s1",[1]OUT_TransportEnergyCons!$A$4:$A$10000))*1,[1]OUT_TransportEnergyCons!E$4:E$10000))*1000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(SUMPRODUCT(("var_ncap"=[1]OUT_TransportEnergyCons!$B$4:$B$10000)*1,ISNUMBER(SEARCH("T_b_c*h2o*s1",[1]OUT_TransportEnergyCons!$A$4:$A$10000))*1,[1]OUT_TransportEnergyCons!F$4:F$10000))*1000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(SUMPRODUCT(("var_ncap"=[1]OUT_TransportEnergyCons!$B$4:$B$10000)*1,ISNUMBER(SEARCH("T_b_c*h2o*s1",[1]OUT_TransportEnergyCons!$A$4:$A$10000))*1,[1]OUT_TransportEnergyCons!G$4:G$10000))*1000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(SUMPRODUCT(("var_ncap"=[1]OUT_TransportEnergyCons!$B$4:$B$10000)*1,ISNUMBER(SEARCH("T_b_c*h2o*s1",[1]OUT_TransportEnergyCons!$A$4:$A$10000))*1,[1]OUT_TransportEnergyCons!H$4:H$10000))*1000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(SUMPRODUCT(("var_ncap"=[1]OUT_TransportEnergyCons!$B$4:$B$10000)*1,ISNUMBER(SEARCH("T_b_c*h2o*s1",[1]OUT_TransportEnergyCons!$A$4:$A$10000))*1,[1]OUT_TransportEnergyCons!I$4:I$10000))*1000</f>
        <v>0</v>
      </c>
    </row>
    <row r="2191" spans="2:11" x14ac:dyDescent="0.35">
      <c r="B2191" s="5" t="str">
        <f t="shared" si="1375"/>
        <v>SPS1</v>
      </c>
      <c r="C2191" s="5" t="str">
        <f t="shared" si="1376"/>
        <v>CH</v>
      </c>
      <c r="D2191" t="s">
        <v>2326</v>
      </c>
      <c r="E2191" t="s">
        <v>2000</v>
      </c>
      <c r="F2191" s="1" cm="1">
        <f t="array" ref="F2191">(SUMPRODUCT(("var_ncap"=[1]OUT_TransportEnergyCons!$B$4:$B$10000)*1,ISNUMBER(SEARCH("T_b_c*h2o*s2",[1]OUT_TransportEnergyCons!$A$4:$A$10000))*1,[1]OUT_TransportEnergyCons!D$4:D$10000))*1000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(SUMPRODUCT(("var_ncap"=[1]OUT_TransportEnergyCons!$B$4:$B$10000)*1,ISNUMBER(SEARCH("T_b_c*h2o*s2",[1]OUT_TransportEnergyCons!$A$4:$A$10000))*1,[1]OUT_TransportEnergyCons!E$4:E$10000))*1000</f>
        <v>0</v>
      </c>
      <c r="H2191" s="1" cm="1">
        <f t="array" ref="H2191">(SUMPRODUCT(("var_ncap"=[1]OUT_TransportEnergyCons!$B$4:$B$10000)*1,ISNUMBER(SEARCH("T_b_c*h2o*s2",[1]OUT_TransportEnergyCons!$A$4:$A$10000))*1,[1]OUT_TransportEnergyCons!F$4:F$10000))*1000</f>
        <v>0</v>
      </c>
      <c r="I2191" s="1" cm="1">
        <f t="array" ref="I2191">(SUMPRODUCT(("var_ncap"=[1]OUT_TransportEnergyCons!$B$4:$B$10000)*1,ISNUMBER(SEARCH("T_b_c*h2o*s2",[1]OUT_TransportEnergyCons!$A$4:$A$10000))*1,[1]OUT_TransportEnergyCons!G$4:G$10000))*1000</f>
        <v>1.1423576099780599E-5</v>
      </c>
      <c r="J2191" s="1" cm="1">
        <f t="array" ref="J2191">(SUMPRODUCT(("var_ncap"=[1]OUT_TransportEnergyCons!$B$4:$B$10000)*1,ISNUMBER(SEARCH("T_b_c*h2o*s2",[1]OUT_TransportEnergyCons!$A$4:$A$10000))*1,[1]OUT_TransportEnergyCons!H$4:H$10000))*1000</f>
        <v>0</v>
      </c>
      <c r="K2191" s="1" cm="1">
        <f t="array" ref="K2191">(SUMPRODUCT(("var_ncap"=[1]OUT_TransportEnergyCons!$B$4:$B$10000)*1,ISNUMBER(SEARCH("T_b_c*h2o*s2",[1]OUT_TransportEnergyCons!$A$4:$A$10000))*1,[1]OUT_TransportEnergyCons!I$4:I$10000))*1000</f>
        <v>0</v>
      </c>
    </row>
    <row r="2192" spans="2:11" x14ac:dyDescent="0.35">
      <c r="B2192" s="5" t="str">
        <f t="shared" si="1375"/>
        <v>SPS1</v>
      </c>
      <c r="C2192" s="5" t="str">
        <f t="shared" si="1376"/>
        <v>CH</v>
      </c>
      <c r="D2192" t="s">
        <v>2327</v>
      </c>
      <c r="E2192" t="s">
        <v>2000</v>
      </c>
      <c r="F2192" s="1" cm="1">
        <f t="array" ref="F2192">(SUMPRODUCT(("var_ncap"=[1]OUT_TransportEnergyCons!$B$4:$B$10000)*1,ISNUMBER(SEARCH("T_b_c*h2o*s3",[1]OUT_TransportEnergyCons!$A$4:$A$10000))*1,[1]OUT_TransportEnergyCons!D$4:D$10000))*1000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(SUMPRODUCT(("var_ncap"=[1]OUT_TransportEnergyCons!$B$4:$B$10000)*1,ISNUMBER(SEARCH("T_b_c*h2o*s3",[1]OUT_TransportEnergyCons!$A$4:$A$10000))*1,[1]OUT_TransportEnergyCons!E$4:E$10000))*1000</f>
        <v>0</v>
      </c>
      <c r="H2192" s="1" cm="1">
        <f t="array" ref="H2192">(SUMPRODUCT(("var_ncap"=[1]OUT_TransportEnergyCons!$B$4:$B$10000)*1,ISNUMBER(SEARCH("T_b_c*h2o*s3",[1]OUT_TransportEnergyCons!$A$4:$A$10000))*1,[1]OUT_TransportEnergyCons!F$4:F$10000))*1000</f>
        <v>0</v>
      </c>
      <c r="I2192" s="1" cm="1">
        <f t="array" ref="I2192">(SUMPRODUCT(("var_ncap"=[1]OUT_TransportEnergyCons!$B$4:$B$10000)*1,ISNUMBER(SEARCH("T_b_c*h2o*s3",[1]OUT_TransportEnergyCons!$A$4:$A$10000))*1,[1]OUT_TransportEnergyCons!G$4:G$10000))*1000</f>
        <v>3.3471322680337703E-5</v>
      </c>
      <c r="J2192" s="1" cm="1">
        <f t="array" ref="J2192">(SUMPRODUCT(("var_ncap"=[1]OUT_TransportEnergyCons!$B$4:$B$10000)*1,ISNUMBER(SEARCH("T_b_c*h2o*s3",[1]OUT_TransportEnergyCons!$A$4:$A$10000))*1,[1]OUT_TransportEnergyCons!H$4:H$10000))*1000</f>
        <v>1.5937781234217102E-5</v>
      </c>
      <c r="K2192" s="1" cm="1">
        <f t="array" ref="K2192">(SUMPRODUCT(("var_ncap"=[1]OUT_TransportEnergyCons!$B$4:$B$10000)*1,ISNUMBER(SEARCH("T_b_c*h2o*s3",[1]OUT_TransportEnergyCons!$A$4:$A$10000))*1,[1]OUT_TransportEnergyCons!I$4:I$10000))*1000</f>
        <v>0</v>
      </c>
    </row>
    <row r="2193" spans="2:11" x14ac:dyDescent="0.35">
      <c r="B2193" s="5" t="str">
        <f t="shared" ref="B2193:B2227" si="1378">B2192</f>
        <v>SPS1</v>
      </c>
      <c r="C2193" s="5" t="str">
        <f t="shared" ref="C2193:C2227" si="1379">C2192</f>
        <v>CH</v>
      </c>
      <c r="D2193" t="s">
        <v>2328</v>
      </c>
      <c r="E2193" t="s">
        <v>2000</v>
      </c>
      <c r="F2193" s="1" cm="1">
        <f t="array" ref="F2193">(SUMPRODUCT(("var_ncap"=[1]OUT_TransportEnergyCons!$B$4:$B$10000)*1,ISNUMBER(SEARCH("T_b_c*h2o*s4",[1]OUT_TransportEnergyCons!$A$4:$A$10000))*1,[1]OUT_TransportEnergyCons!D$4:D$10000))*1000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(SUMPRODUCT(("var_ncap"=[1]OUT_TransportEnergyCons!$B$4:$B$10000)*1,ISNUMBER(SEARCH("T_b_c*h2o*s4",[1]OUT_TransportEnergyCons!$A$4:$A$10000))*1,[1]OUT_TransportEnergyCons!E$4:E$10000))*1000</f>
        <v>0</v>
      </c>
      <c r="H2193" s="1" cm="1">
        <f t="array" ref="H2193">(SUMPRODUCT(("var_ncap"=[1]OUT_TransportEnergyCons!$B$4:$B$10000)*1,ISNUMBER(SEARCH("T_b_c*h2o*s4",[1]OUT_TransportEnergyCons!$A$4:$A$10000))*1,[1]OUT_TransportEnergyCons!F$4:F$10000))*1000</f>
        <v>0</v>
      </c>
      <c r="I2193" s="1" cm="1">
        <f t="array" ref="I2193">(SUMPRODUCT(("var_ncap"=[1]OUT_TransportEnergyCons!$B$4:$B$10000)*1,ISNUMBER(SEARCH("T_b_c*h2o*s4",[1]OUT_TransportEnergyCons!$A$4:$A$10000))*1,[1]OUT_TransportEnergyCons!G$4:G$10000))*1000</f>
        <v>0</v>
      </c>
      <c r="J2193" s="1" cm="1">
        <f t="array" ref="J2193">(SUMPRODUCT(("var_ncap"=[1]OUT_TransportEnergyCons!$B$4:$B$10000)*1,ISNUMBER(SEARCH("T_b_c*h2o*s4",[1]OUT_TransportEnergyCons!$A$4:$A$10000))*1,[1]OUT_TransportEnergyCons!H$4:H$10000))*1000</f>
        <v>0</v>
      </c>
      <c r="K2193" s="1" cm="1">
        <f t="array" ref="K2193">(SUMPRODUCT(("var_ncap"=[1]OUT_TransportEnergyCons!$B$4:$B$10000)*1,ISNUMBER(SEARCH("T_b_c*h2o*s4",[1]OUT_TransportEnergyCons!$A$4:$A$10000))*1,[1]OUT_TransportEnergyCons!I$4:I$10000))*1000</f>
        <v>0</v>
      </c>
    </row>
    <row r="2194" spans="2:11" x14ac:dyDescent="0.35">
      <c r="B2194" s="5" t="str">
        <f t="shared" si="1378"/>
        <v>SPS1</v>
      </c>
      <c r="C2194" s="5" t="str">
        <f t="shared" si="1379"/>
        <v>CH</v>
      </c>
      <c r="D2194" t="s">
        <v>2329</v>
      </c>
      <c r="E2194" t="s">
        <v>2000</v>
      </c>
      <c r="F2194" s="1" cm="1">
        <f t="array" ref="F2194">(SUMPRODUCT(("var_ncap"=[1]OUT_TransportEnergyCons!$B$4:$B$10000)*1,ISNUMBER(SEARCH("T_b_c*hyb*DSL*s1",[1]OUT_TransportEnergyCons!$A$4:$A$10000))*1,[1]OUT_TransportEnergyCons!D$4:D$10000))*1000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(SUMPRODUCT(("var_ncap"=[1]OUT_TransportEnergyCons!$B$4:$B$10000)*1,ISNUMBER(SEARCH("T_b_c*hyb*DSL*s1",[1]OUT_TransportEnergyCons!$A$4:$A$10000))*1,[1]OUT_TransportEnergyCons!E$4:E$10000))*1000</f>
        <v>4.1460383763138701E-3</v>
      </c>
      <c r="H2194" s="1" cm="1">
        <f t="array" ref="H2194">(SUMPRODUCT(("var_ncap"=[1]OUT_TransportEnergyCons!$B$4:$B$10000)*1,ISNUMBER(SEARCH("T_b_c*hyb*DSL*s1",[1]OUT_TransportEnergyCons!$A$4:$A$10000))*1,[1]OUT_TransportEnergyCons!F$4:F$10000))*1000</f>
        <v>7.5413669226642905E-4</v>
      </c>
      <c r="I2194" s="1" cm="1">
        <f t="array" ref="I2194">(SUMPRODUCT(("var_ncap"=[1]OUT_TransportEnergyCons!$B$4:$B$10000)*1,ISNUMBER(SEARCH("T_b_c*hyb*DSL*s1",[1]OUT_TransportEnergyCons!$A$4:$A$10000))*1,[1]OUT_TransportEnergyCons!G$4:G$10000))*1000</f>
        <v>0</v>
      </c>
      <c r="J2194" s="1" cm="1">
        <f t="array" ref="J2194">(SUMPRODUCT(("var_ncap"=[1]OUT_TransportEnergyCons!$B$4:$B$10000)*1,ISNUMBER(SEARCH("T_b_c*hyb*DSL*s1",[1]OUT_TransportEnergyCons!$A$4:$A$10000))*1,[1]OUT_TransportEnergyCons!H$4:H$10000))*1000</f>
        <v>6.0892038448679603E-5</v>
      </c>
      <c r="K2194" s="1" cm="1">
        <f t="array" ref="K2194">(SUMPRODUCT(("var_ncap"=[1]OUT_TransportEnergyCons!$B$4:$B$10000)*1,ISNUMBER(SEARCH("T_b_c*hyb*DSL*s1",[1]OUT_TransportEnergyCons!$A$4:$A$10000))*1,[1]OUT_TransportEnergyCons!I$4:I$10000))*1000</f>
        <v>0</v>
      </c>
    </row>
    <row r="2195" spans="2:11" x14ac:dyDescent="0.35">
      <c r="B2195" s="5" t="str">
        <f t="shared" si="1378"/>
        <v>SPS1</v>
      </c>
      <c r="C2195" s="5" t="str">
        <f t="shared" si="1379"/>
        <v>CH</v>
      </c>
      <c r="D2195" t="s">
        <v>2330</v>
      </c>
      <c r="E2195" t="s">
        <v>2000</v>
      </c>
      <c r="F2195" s="1" cm="1">
        <f t="array" ref="F2195">(SUMPRODUCT(("var_ncap"=[1]OUT_TransportEnergyCons!$B$4:$B$10000)*1,ISNUMBER(SEARCH("T_b_c*hyb*DSL*s2",[1]OUT_TransportEnergyCons!$A$4:$A$10000))*1,[1]OUT_TransportEnergyCons!D$4:D$10000))*1000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(SUMPRODUCT(("var_ncap"=[1]OUT_TransportEnergyCons!$B$4:$B$10000)*1,ISNUMBER(SEARCH("T_b_c*hyb*DSL*s2",[1]OUT_TransportEnergyCons!$A$4:$A$10000))*1,[1]OUT_TransportEnergyCons!E$4:E$10000))*1000</f>
        <v>2.8027460304618201E-4</v>
      </c>
      <c r="H2195" s="1" cm="1">
        <f t="array" ref="H2195">(SUMPRODUCT(("var_ncap"=[1]OUT_TransportEnergyCons!$B$4:$B$10000)*1,ISNUMBER(SEARCH("T_b_c*hyb*DSL*s2",[1]OUT_TransportEnergyCons!$A$4:$A$10000))*1,[1]OUT_TransportEnergyCons!F$4:F$10000))*1000</f>
        <v>2.3120658566848698E-4</v>
      </c>
      <c r="I2195" s="1" cm="1">
        <f t="array" ref="I2195">(SUMPRODUCT(("var_ncap"=[1]OUT_TransportEnergyCons!$B$4:$B$10000)*1,ISNUMBER(SEARCH("T_b_c*hyb*DSL*s2",[1]OUT_TransportEnergyCons!$A$4:$A$10000))*1,[1]OUT_TransportEnergyCons!G$4:G$10000))*1000</f>
        <v>0</v>
      </c>
      <c r="J2195" s="1" cm="1">
        <f t="array" ref="J2195">(SUMPRODUCT(("var_ncap"=[1]OUT_TransportEnergyCons!$B$4:$B$10000)*1,ISNUMBER(SEARCH("T_b_c*hyb*DSL*s2",[1]OUT_TransportEnergyCons!$A$4:$A$10000))*1,[1]OUT_TransportEnergyCons!H$4:H$10000))*1000</f>
        <v>6.7704322226131697E-5</v>
      </c>
      <c r="K2195" s="1" cm="1">
        <f t="array" ref="K2195">(SUMPRODUCT(("var_ncap"=[1]OUT_TransportEnergyCons!$B$4:$B$10000)*1,ISNUMBER(SEARCH("T_b_c*hyb*DSL*s2",[1]OUT_TransportEnergyCons!$A$4:$A$10000))*1,[1]OUT_TransportEnergyCons!I$4:I$10000))*1000</f>
        <v>0</v>
      </c>
    </row>
    <row r="2196" spans="2:11" x14ac:dyDescent="0.35">
      <c r="B2196" s="5" t="str">
        <f t="shared" si="1378"/>
        <v>SPS1</v>
      </c>
      <c r="C2196" s="5" t="str">
        <f t="shared" si="1379"/>
        <v>CH</v>
      </c>
      <c r="D2196" t="s">
        <v>2331</v>
      </c>
      <c r="E2196" t="s">
        <v>2000</v>
      </c>
      <c r="F2196" s="1" cm="1">
        <f t="array" ref="F2196">(SUMPRODUCT(("var_ncap"=[1]OUT_TransportEnergyCons!$B$4:$B$10000)*1,ISNUMBER(SEARCH("T_b_c*hyb*DSL*s3",[1]OUT_TransportEnergyCons!$A$4:$A$10000))*1,[1]OUT_TransportEnergyCons!D$4:D$10000))*1000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(SUMPRODUCT(("var_ncap"=[1]OUT_TransportEnergyCons!$B$4:$B$10000)*1,ISNUMBER(SEARCH("T_b_c*hyb*DSL*s3",[1]OUT_TransportEnergyCons!$A$4:$A$10000))*1,[1]OUT_TransportEnergyCons!E$4:E$10000))*1000</f>
        <v>1.1990312568851199E-4</v>
      </c>
      <c r="H2196" s="1" cm="1">
        <f t="array" ref="H2196">(SUMPRODUCT(("var_ncap"=[1]OUT_TransportEnergyCons!$B$4:$B$10000)*1,ISNUMBER(SEARCH("T_b_c*hyb*DSL*s3",[1]OUT_TransportEnergyCons!$A$4:$A$10000))*1,[1]OUT_TransportEnergyCons!F$4:F$10000))*1000</f>
        <v>9.0322448985926394E-5</v>
      </c>
      <c r="I2196" s="1" cm="1">
        <f t="array" ref="I2196">(SUMPRODUCT(("var_ncap"=[1]OUT_TransportEnergyCons!$B$4:$B$10000)*1,ISNUMBER(SEARCH("T_b_c*hyb*DSL*s3",[1]OUT_TransportEnergyCons!$A$4:$A$10000))*1,[1]OUT_TransportEnergyCons!G$4:G$10000))*1000</f>
        <v>1.67278474059141E-5</v>
      </c>
      <c r="J2196" s="1" cm="1">
        <f t="array" ref="J2196">(SUMPRODUCT(("var_ncap"=[1]OUT_TransportEnergyCons!$B$4:$B$10000)*1,ISNUMBER(SEARCH("T_b_c*hyb*DSL*s3",[1]OUT_TransportEnergyCons!$A$4:$A$10000))*1,[1]OUT_TransportEnergyCons!H$4:H$10000))*1000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(SUMPRODUCT(("var_ncap"=[1]OUT_TransportEnergyCons!$B$4:$B$10000)*1,ISNUMBER(SEARCH("T_b_c*hyb*DSL*s3",[1]OUT_TransportEnergyCons!$A$4:$A$10000))*1,[1]OUT_TransportEnergyCons!I$4:I$10000))*1000</f>
        <v>0</v>
      </c>
    </row>
    <row r="2197" spans="2:11" x14ac:dyDescent="0.35">
      <c r="B2197" s="5" t="str">
        <f t="shared" si="1378"/>
        <v>SPS1</v>
      </c>
      <c r="C2197" s="5" t="str">
        <f t="shared" si="1379"/>
        <v>CH</v>
      </c>
      <c r="D2197" t="s">
        <v>2332</v>
      </c>
      <c r="E2197" t="s">
        <v>2000</v>
      </c>
      <c r="F2197" s="1" cm="1">
        <f t="array" ref="F2197">(SUMPRODUCT(("var_ncap"=[1]OUT_TransportEnergyCons!$B$4:$B$10000)*1,ISNUMBER(SEARCH("T_b_c*hyb*DSL*s4",[1]OUT_TransportEnergyCons!$A$4:$A$10000))*1,[1]OUT_TransportEnergyCons!D$4:D$10000))*1000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(SUMPRODUCT(("var_ncap"=[1]OUT_TransportEnergyCons!$B$4:$B$10000)*1,ISNUMBER(SEARCH("T_b_c*hyb*DSL*s4",[1]OUT_TransportEnergyCons!$A$4:$A$10000))*1,[1]OUT_TransportEnergyCons!E$4:E$10000))*1000</f>
        <v>1.4956827869647198E-5</v>
      </c>
      <c r="H2197" s="1" cm="1">
        <f t="array" ref="H2197">(SUMPRODUCT(("var_ncap"=[1]OUT_TransportEnergyCons!$B$4:$B$10000)*1,ISNUMBER(SEARCH("T_b_c*hyb*DSL*s4",[1]OUT_TransportEnergyCons!$A$4:$A$10000))*1,[1]OUT_TransportEnergyCons!F$4:F$10000))*1000</f>
        <v>1.42926701828719E-5</v>
      </c>
      <c r="I2197" s="1" cm="1">
        <f t="array" ref="I2197">(SUMPRODUCT(("var_ncap"=[1]OUT_TransportEnergyCons!$B$4:$B$10000)*1,ISNUMBER(SEARCH("T_b_c*hyb*DSL*s4",[1]OUT_TransportEnergyCons!$A$4:$A$10000))*1,[1]OUT_TransportEnergyCons!G$4:G$10000))*1000</f>
        <v>0</v>
      </c>
      <c r="J2197" s="1" cm="1">
        <f t="array" ref="J2197">(SUMPRODUCT(("var_ncap"=[1]OUT_TransportEnergyCons!$B$4:$B$10000)*1,ISNUMBER(SEARCH("T_b_c*hyb*DSL*s4",[1]OUT_TransportEnergyCons!$A$4:$A$10000))*1,[1]OUT_TransportEnergyCons!H$4:H$10000))*1000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(SUMPRODUCT(("var_ncap"=[1]OUT_TransportEnergyCons!$B$4:$B$10000)*1,ISNUMBER(SEARCH("T_b_c*hyb*DSL*s4",[1]OUT_TransportEnergyCons!$A$4:$A$10000))*1,[1]OUT_TransportEnergyCons!I$4:I$10000))*1000</f>
        <v>0</v>
      </c>
    </row>
    <row r="2198" spans="2:11" x14ac:dyDescent="0.35">
      <c r="B2198" s="5" t="str">
        <f t="shared" si="1378"/>
        <v>SPS1</v>
      </c>
      <c r="C2198" s="5" t="str">
        <f t="shared" si="1379"/>
        <v>CH</v>
      </c>
      <c r="D2198" t="s">
        <v>2333</v>
      </c>
      <c r="E2198" t="s">
        <v>2000</v>
      </c>
      <c r="F2198" s="1" cm="1">
        <f t="array" ref="F2198">(SUMPRODUCT(("var_ncap"=[1]OUT_TransportEnergyCons!$B$4:$B$10000)*1,ISNUMBER(SEARCH("T_b_c*ICE*DSL*ext",[1]OUT_TransportEnergyCons!$A$4:$A$10000))*1,[1]OUT_TransportEnergyCons!D$4:D$10000))*1000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(SUMPRODUCT(("var_ncap"=[1]OUT_TransportEnergyCons!$B$4:$B$10000)*1,ISNUMBER(SEARCH("T_b_c*ICE*DSL*ext",[1]OUT_TransportEnergyCons!$A$4:$A$10000))*1,[1]OUT_TransportEnergyCons!E$4:E$10000))*1000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(SUMPRODUCT(("var_ncap"=[1]OUT_TransportEnergyCons!$B$4:$B$10000)*1,ISNUMBER(SEARCH("T_b_c*ICE*DSL*ext",[1]OUT_TransportEnergyCons!$A$4:$A$10000))*1,[1]OUT_TransportEnergyCons!F$4:F$10000))*1000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(SUMPRODUCT(("var_ncap"=[1]OUT_TransportEnergyCons!$B$4:$B$10000)*1,ISNUMBER(SEARCH("T_b_c*ICE*DSL*ext",[1]OUT_TransportEnergyCons!$A$4:$A$10000))*1,[1]OUT_TransportEnergyCons!G$4:G$10000))*1000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(SUMPRODUCT(("var_ncap"=[1]OUT_TransportEnergyCons!$B$4:$B$10000)*1,ISNUMBER(SEARCH("T_b_c*ICE*DSL*ext",[1]OUT_TransportEnergyCons!$A$4:$A$10000))*1,[1]OUT_TransportEnergyCons!H$4:H$10000))*1000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(SUMPRODUCT(("var_ncap"=[1]OUT_TransportEnergyCons!$B$4:$B$10000)*1,ISNUMBER(SEARCH("T_b_c*ICE*DSL*ext",[1]OUT_TransportEnergyCons!$A$4:$A$10000))*1,[1]OUT_TransportEnergyCons!I$4:I$10000))*1000</f>
        <v>0</v>
      </c>
    </row>
    <row r="2199" spans="2:11" x14ac:dyDescent="0.35">
      <c r="B2199" s="5" t="str">
        <f t="shared" si="1378"/>
        <v>SPS1</v>
      </c>
      <c r="C2199" s="5" t="str">
        <f t="shared" si="1379"/>
        <v>CH</v>
      </c>
      <c r="D2199" t="s">
        <v>2334</v>
      </c>
      <c r="E2199" t="s">
        <v>2000</v>
      </c>
      <c r="F2199" s="1" cm="1">
        <f t="array" ref="F2199">(SUMPRODUCT(("var_ncap"=[1]OUT_TransportEnergyCons!$B$4:$B$10000)*1,ISNUMBER(SEARCH("T_b_c*ICE*DSL*s1",[1]OUT_TransportEnergyCons!$A$4:$A$10000))*1,[1]OUT_TransportEnergyCons!D$4:D$10000))*1000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(SUMPRODUCT(("var_ncap"=[1]OUT_TransportEnergyCons!$B$4:$B$10000)*1,ISNUMBER(SEARCH("T_b_c*ICE*DSL*s1",[1]OUT_TransportEnergyCons!$A$4:$A$10000))*1,[1]OUT_TransportEnergyCons!E$4:E$10000))*1000</f>
        <v>0.48808741074296402</v>
      </c>
      <c r="H2199" s="1" cm="1">
        <f t="array" ref="H2199">(SUMPRODUCT(("var_ncap"=[1]OUT_TransportEnergyCons!$B$4:$B$10000)*1,ISNUMBER(SEARCH("T_b_c*ICE*DSL*s1",[1]OUT_TransportEnergyCons!$A$4:$A$10000))*1,[1]OUT_TransportEnergyCons!F$4:F$10000))*1000</f>
        <v>0.19753374434496798</v>
      </c>
      <c r="I2199" s="1" cm="1">
        <f t="array" ref="I2199">(SUMPRODUCT(("var_ncap"=[1]OUT_TransportEnergyCons!$B$4:$B$10000)*1,ISNUMBER(SEARCH("T_b_c*ICE*DSL*s1",[1]OUT_TransportEnergyCons!$A$4:$A$10000))*1,[1]OUT_TransportEnergyCons!G$4:G$10000))*1000</f>
        <v>0</v>
      </c>
      <c r="J2199" s="1" cm="1">
        <f t="array" ref="J2199">(SUMPRODUCT(("var_ncap"=[1]OUT_TransportEnergyCons!$B$4:$B$10000)*1,ISNUMBER(SEARCH("T_b_c*ICE*DSL*s1",[1]OUT_TransportEnergyCons!$A$4:$A$10000))*1,[1]OUT_TransportEnergyCons!H$4:H$10000))*1000</f>
        <v>5.1199869682431399E-5</v>
      </c>
      <c r="K2199" s="1" cm="1">
        <f t="array" ref="K2199">(SUMPRODUCT(("var_ncap"=[1]OUT_TransportEnergyCons!$B$4:$B$10000)*1,ISNUMBER(SEARCH("T_b_c*ICE*DSL*s1",[1]OUT_TransportEnergyCons!$A$4:$A$10000))*1,[1]OUT_TransportEnergyCons!I$4:I$10000))*1000</f>
        <v>0</v>
      </c>
    </row>
    <row r="2200" spans="2:11" x14ac:dyDescent="0.35">
      <c r="B2200" s="5" t="str">
        <f t="shared" si="1378"/>
        <v>SPS1</v>
      </c>
      <c r="C2200" s="5" t="str">
        <f t="shared" si="1379"/>
        <v>CH</v>
      </c>
      <c r="D2200" t="s">
        <v>2335</v>
      </c>
      <c r="E2200" t="s">
        <v>2000</v>
      </c>
      <c r="F2200" s="1" cm="1">
        <f t="array" ref="F2200">(SUMPRODUCT(("var_ncap"=[1]OUT_TransportEnergyCons!$B$4:$B$10000)*1,ISNUMBER(SEARCH("T_b_c*ICE*DSL*s2",[1]OUT_TransportEnergyCons!$A$4:$A$10000))*1,[1]OUT_TransportEnergyCons!D$4:D$10000))*1000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(SUMPRODUCT(("var_ncap"=[1]OUT_TransportEnergyCons!$B$4:$B$10000)*1,ISNUMBER(SEARCH("T_b_c*ICE*DSL*s2",[1]OUT_TransportEnergyCons!$A$4:$A$10000))*1,[1]OUT_TransportEnergyCons!E$4:E$10000))*1000</f>
        <v>3.9512151707381997E-4</v>
      </c>
      <c r="H2200" s="1" cm="1">
        <f t="array" ref="H2200">(SUMPRODUCT(("var_ncap"=[1]OUT_TransportEnergyCons!$B$4:$B$10000)*1,ISNUMBER(SEARCH("T_b_c*ICE*DSL*s2",[1]OUT_TransportEnergyCons!$A$4:$A$10000))*1,[1]OUT_TransportEnergyCons!F$4:F$10000))*1000</f>
        <v>7.0564724903337899E-4</v>
      </c>
      <c r="I2200" s="1" cm="1">
        <f t="array" ref="I2200">(SUMPRODUCT(("var_ncap"=[1]OUT_TransportEnergyCons!$B$4:$B$10000)*1,ISNUMBER(SEARCH("T_b_c*ICE*DSL*s2",[1]OUT_TransportEnergyCons!$A$4:$A$10000))*1,[1]OUT_TransportEnergyCons!G$4:G$10000))*1000</f>
        <v>0</v>
      </c>
      <c r="J2200" s="1" cm="1">
        <f t="array" ref="J2200">(SUMPRODUCT(("var_ncap"=[1]OUT_TransportEnergyCons!$B$4:$B$10000)*1,ISNUMBER(SEARCH("T_b_c*ICE*DSL*s2",[1]OUT_TransportEnergyCons!$A$4:$A$10000))*1,[1]OUT_TransportEnergyCons!H$4:H$10000))*1000</f>
        <v>5.4238719968346502E-5</v>
      </c>
      <c r="K2200" s="1" cm="1">
        <f t="array" ref="K2200">(SUMPRODUCT(("var_ncap"=[1]OUT_TransportEnergyCons!$B$4:$B$10000)*1,ISNUMBER(SEARCH("T_b_c*ICE*DSL*s2",[1]OUT_TransportEnergyCons!$A$4:$A$10000))*1,[1]OUT_TransportEnergyCons!I$4:I$10000))*1000</f>
        <v>0</v>
      </c>
    </row>
    <row r="2201" spans="2:11" x14ac:dyDescent="0.35">
      <c r="B2201" s="5" t="str">
        <f t="shared" si="1378"/>
        <v>SPS1</v>
      </c>
      <c r="C2201" s="5" t="str">
        <f t="shared" si="1379"/>
        <v>CH</v>
      </c>
      <c r="D2201" t="s">
        <v>2336</v>
      </c>
      <c r="E2201" t="s">
        <v>2000</v>
      </c>
      <c r="F2201" s="1" cm="1">
        <f t="array" ref="F2201">(SUMPRODUCT(("var_ncap"=[1]OUT_TransportEnergyCons!$B$4:$B$10000)*1,ISNUMBER(SEARCH("T_b_c*ICE*DSL*s3",[1]OUT_TransportEnergyCons!$A$4:$A$10000))*1,[1]OUT_TransportEnergyCons!D$4:D$10000))*1000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(SUMPRODUCT(("var_ncap"=[1]OUT_TransportEnergyCons!$B$4:$B$10000)*1,ISNUMBER(SEARCH("T_b_c*ICE*DSL*s3",[1]OUT_TransportEnergyCons!$A$4:$A$10000))*1,[1]OUT_TransportEnergyCons!E$4:E$10000))*1000</f>
        <v>1.5981370105536599E-4</v>
      </c>
      <c r="H2201" s="1" cm="1">
        <f t="array" ref="H2201">(SUMPRODUCT(("var_ncap"=[1]OUT_TransportEnergyCons!$B$4:$B$10000)*1,ISNUMBER(SEARCH("T_b_c*ICE*DSL*s3",[1]OUT_TransportEnergyCons!$A$4:$A$10000))*1,[1]OUT_TransportEnergyCons!F$4:F$10000))*1000</f>
        <v>1.8378826271456801E-4</v>
      </c>
      <c r="I2201" s="1" cm="1">
        <f t="array" ref="I2201">(SUMPRODUCT(("var_ncap"=[1]OUT_TransportEnergyCons!$B$4:$B$10000)*1,ISNUMBER(SEARCH("T_b_c*ICE*DSL*s3",[1]OUT_TransportEnergyCons!$A$4:$A$10000))*1,[1]OUT_TransportEnergyCons!G$4:G$10000))*1000</f>
        <v>0</v>
      </c>
      <c r="J2201" s="1" cm="1">
        <f t="array" ref="J2201">(SUMPRODUCT(("var_ncap"=[1]OUT_TransportEnergyCons!$B$4:$B$10000)*1,ISNUMBER(SEARCH("T_b_c*ICE*DSL*s3",[1]OUT_TransportEnergyCons!$A$4:$A$10000))*1,[1]OUT_TransportEnergyCons!H$4:H$10000))*1000</f>
        <v>0</v>
      </c>
      <c r="K2201" s="1" cm="1">
        <f t="array" ref="K2201">(SUMPRODUCT(("var_ncap"=[1]OUT_TransportEnergyCons!$B$4:$B$10000)*1,ISNUMBER(SEARCH("T_b_c*ICE*DSL*s3",[1]OUT_TransportEnergyCons!$A$4:$A$10000))*1,[1]OUT_TransportEnergyCons!I$4:I$10000))*1000</f>
        <v>0</v>
      </c>
    </row>
    <row r="2202" spans="2:11" x14ac:dyDescent="0.35">
      <c r="B2202" s="5" t="str">
        <f t="shared" si="1378"/>
        <v>SPS1</v>
      </c>
      <c r="C2202" s="5" t="str">
        <f t="shared" si="1379"/>
        <v>CH</v>
      </c>
      <c r="D2202" t="s">
        <v>2337</v>
      </c>
      <c r="E2202" t="s">
        <v>2000</v>
      </c>
      <c r="F2202" s="1" cm="1">
        <f t="array" ref="F2202">(SUMPRODUCT(("var_ncap"=[1]OUT_TransportEnergyCons!$B$4:$B$10000)*1,ISNUMBER(SEARCH("T_b_c*ICE*DSL*s4",[1]OUT_TransportEnergyCons!$A$4:$A$10000))*1,[1]OUT_TransportEnergyCons!D$4:D$10000))*1000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(SUMPRODUCT(("var_ncap"=[1]OUT_TransportEnergyCons!$B$4:$B$10000)*1,ISNUMBER(SEARCH("T_b_c*ICE*DSL*s4",[1]OUT_TransportEnergyCons!$A$4:$A$10000))*1,[1]OUT_TransportEnergyCons!E$4:E$10000))*1000</f>
        <v>1.6917372960463102E-5</v>
      </c>
      <c r="H2202" s="1" cm="1">
        <f t="array" ref="H2202">(SUMPRODUCT(("var_ncap"=[1]OUT_TransportEnergyCons!$B$4:$B$10000)*1,ISNUMBER(SEARCH("T_b_c*ICE*DSL*s4",[1]OUT_TransportEnergyCons!$A$4:$A$10000))*1,[1]OUT_TransportEnergyCons!F$4:F$10000))*1000</f>
        <v>1.8008300661072198E-5</v>
      </c>
      <c r="I2202" s="1" cm="1">
        <f t="array" ref="I2202">(SUMPRODUCT(("var_ncap"=[1]OUT_TransportEnergyCons!$B$4:$B$10000)*1,ISNUMBER(SEARCH("T_b_c*ICE*DSL*s4",[1]OUT_TransportEnergyCons!$A$4:$A$10000))*1,[1]OUT_TransportEnergyCons!G$4:G$10000))*1000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(SUMPRODUCT(("var_ncap"=[1]OUT_TransportEnergyCons!$B$4:$B$10000)*1,ISNUMBER(SEARCH("T_b_c*ICE*DSL*s4",[1]OUT_TransportEnergyCons!$A$4:$A$10000))*1,[1]OUT_TransportEnergyCons!H$4:H$10000))*1000</f>
        <v>0</v>
      </c>
      <c r="K2202" s="1" cm="1">
        <f t="array" ref="K2202">(SUMPRODUCT(("var_ncap"=[1]OUT_TransportEnergyCons!$B$4:$B$10000)*1,ISNUMBER(SEARCH("T_b_c*ICE*DSL*s4",[1]OUT_TransportEnergyCons!$A$4:$A$10000))*1,[1]OUT_TransportEnergyCons!I$4:I$10000))*1000</f>
        <v>0</v>
      </c>
    </row>
    <row r="2203" spans="2:11" x14ac:dyDescent="0.35">
      <c r="B2203" s="5" t="str">
        <f t="shared" si="1378"/>
        <v>SPS1</v>
      </c>
      <c r="C2203" s="5" t="str">
        <f t="shared" si="1379"/>
        <v>CH</v>
      </c>
      <c r="D2203" t="s">
        <v>2338</v>
      </c>
      <c r="E2203" t="s">
        <v>2000</v>
      </c>
      <c r="F2203" s="1" cm="1">
        <f t="array" ref="F2203">(SUMPRODUCT(("var_ncap"=[1]OUT_TransportEnergyCons!$B$4:$B$10000)*1,ISNUMBER(SEARCH("T_b_c*ICE*nga*ext",[1]OUT_TransportEnergyCons!$A$4:$A$10000))*1,[1]OUT_TransportEnergyCons!D$4:D$10000))*1000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(SUMPRODUCT(("var_ncap"=[1]OUT_TransportEnergyCons!$B$4:$B$10000)*1,ISNUMBER(SEARCH("T_b_c*ICE*nga*ext",[1]OUT_TransportEnergyCons!$A$4:$A$10000))*1,[1]OUT_TransportEnergyCons!E$4:E$10000))*1000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(SUMPRODUCT(("var_ncap"=[1]OUT_TransportEnergyCons!$B$4:$B$10000)*1,ISNUMBER(SEARCH("T_b_c*ICE*nga*ext",[1]OUT_TransportEnergyCons!$A$4:$A$10000))*1,[1]OUT_TransportEnergyCons!F$4:F$10000))*1000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(SUMPRODUCT(("var_ncap"=[1]OUT_TransportEnergyCons!$B$4:$B$10000)*1,ISNUMBER(SEARCH("T_b_c*ICE*nga*ext",[1]OUT_TransportEnergyCons!$A$4:$A$10000))*1,[1]OUT_TransportEnergyCons!G$4:G$10000))*1000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(SUMPRODUCT(("var_ncap"=[1]OUT_TransportEnergyCons!$B$4:$B$10000)*1,ISNUMBER(SEARCH("T_b_c*ICE*nga*ext",[1]OUT_TransportEnergyCons!$A$4:$A$10000))*1,[1]OUT_TransportEnergyCons!H$4:H$10000))*1000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(SUMPRODUCT(("var_ncap"=[1]OUT_TransportEnergyCons!$B$4:$B$10000)*1,ISNUMBER(SEARCH("T_b_c*ICE*nga*ext",[1]OUT_TransportEnergyCons!$A$4:$A$10000))*1,[1]OUT_TransportEnergyCons!I$4:I$10000))*1000</f>
        <v>0</v>
      </c>
    </row>
    <row r="2204" spans="2:11" x14ac:dyDescent="0.35">
      <c r="B2204" s="5" t="str">
        <f t="shared" si="1378"/>
        <v>SPS1</v>
      </c>
      <c r="C2204" s="5" t="str">
        <f t="shared" si="1379"/>
        <v>CH</v>
      </c>
      <c r="D2204" t="s">
        <v>2339</v>
      </c>
      <c r="E2204" t="s">
        <v>2000</v>
      </c>
      <c r="F2204" s="1" cm="1">
        <f t="array" ref="F2204">(SUMPRODUCT(("var_ncap"=[1]OUT_TransportEnergyCons!$B$4:$B$10000)*1,ISNUMBER(SEARCH("T_b_c*ICE*nga*s1",[1]OUT_TransportEnergyCons!$A$4:$A$10000))*1,[1]OUT_TransportEnergyCons!D$4:D$10000))*1000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(SUMPRODUCT(("var_ncap"=[1]OUT_TransportEnergyCons!$B$4:$B$10000)*1,ISNUMBER(SEARCH("T_b_c*ICE*nga*s1",[1]OUT_TransportEnergyCons!$A$4:$A$10000))*1,[1]OUT_TransportEnergyCons!E$4:E$10000))*1000</f>
        <v>4.3560818294837301E-4</v>
      </c>
      <c r="H2204" s="1" cm="1">
        <f t="array" ref="H2204">(SUMPRODUCT(("var_ncap"=[1]OUT_TransportEnergyCons!$B$4:$B$10000)*1,ISNUMBER(SEARCH("T_b_c*ICE*nga*s1",[1]OUT_TransportEnergyCons!$A$4:$A$10000))*1,[1]OUT_TransportEnergyCons!F$4:F$10000))*1000</f>
        <v>5.9726437224000793E-4</v>
      </c>
      <c r="I2204" s="1" cm="1">
        <f t="array" ref="I2204">(SUMPRODUCT(("var_ncap"=[1]OUT_TransportEnergyCons!$B$4:$B$10000)*1,ISNUMBER(SEARCH("T_b_c*ICE*nga*s1",[1]OUT_TransportEnergyCons!$A$4:$A$10000))*1,[1]OUT_TransportEnergyCons!G$4:G$10000))*1000</f>
        <v>0</v>
      </c>
      <c r="J2204" s="1" cm="1">
        <f t="array" ref="J2204">(SUMPRODUCT(("var_ncap"=[1]OUT_TransportEnergyCons!$B$4:$B$10000)*1,ISNUMBER(SEARCH("T_b_c*ICE*nga*s1",[1]OUT_TransportEnergyCons!$A$4:$A$10000))*1,[1]OUT_TransportEnergyCons!H$4:H$10000))*1000</f>
        <v>2.5169364499659801E-5</v>
      </c>
      <c r="K2204" s="1" cm="1">
        <f t="array" ref="K2204">(SUMPRODUCT(("var_ncap"=[1]OUT_TransportEnergyCons!$B$4:$B$10000)*1,ISNUMBER(SEARCH("T_b_c*ICE*nga*s1",[1]OUT_TransportEnergyCons!$A$4:$A$10000))*1,[1]OUT_TransportEnergyCons!I$4:I$10000))*1000</f>
        <v>0</v>
      </c>
    </row>
    <row r="2205" spans="2:11" x14ac:dyDescent="0.35">
      <c r="B2205" s="5" t="str">
        <f t="shared" si="1378"/>
        <v>SPS1</v>
      </c>
      <c r="C2205" s="5" t="str">
        <f t="shared" si="1379"/>
        <v>CH</v>
      </c>
      <c r="D2205" t="s">
        <v>2340</v>
      </c>
      <c r="E2205" t="s">
        <v>2000</v>
      </c>
      <c r="F2205" s="1" cm="1">
        <f t="array" ref="F2205">(SUMPRODUCT(("var_ncap"=[1]OUT_TransportEnergyCons!$B$4:$B$10000)*1,ISNUMBER(SEARCH("T_b_c*ICE*nga*s2",[1]OUT_TransportEnergyCons!$A$4:$A$10000))*1,[1]OUT_TransportEnergyCons!D$4:D$10000))*1000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(SUMPRODUCT(("var_ncap"=[1]OUT_TransportEnergyCons!$B$4:$B$10000)*1,ISNUMBER(SEARCH("T_b_c*ICE*nga*s2",[1]OUT_TransportEnergyCons!$A$4:$A$10000))*1,[1]OUT_TransportEnergyCons!E$4:E$10000))*1000</f>
        <v>1.4356370005298502E-4</v>
      </c>
      <c r="H2205" s="1" cm="1">
        <f t="array" ref="H2205">(SUMPRODUCT(("var_ncap"=[1]OUT_TransportEnergyCons!$B$4:$B$10000)*1,ISNUMBER(SEARCH("T_b_c*ICE*nga*s2",[1]OUT_TransportEnergyCons!$A$4:$A$10000))*1,[1]OUT_TransportEnergyCons!F$4:F$10000))*1000</f>
        <v>3.5304001210785199E-4</v>
      </c>
      <c r="I2205" s="1" cm="1">
        <f t="array" ref="I2205">(SUMPRODUCT(("var_ncap"=[1]OUT_TransportEnergyCons!$B$4:$B$10000)*1,ISNUMBER(SEARCH("T_b_c*ICE*nga*s2",[1]OUT_TransportEnergyCons!$A$4:$A$10000))*1,[1]OUT_TransportEnergyCons!G$4:G$10000))*1000</f>
        <v>0</v>
      </c>
      <c r="J2205" s="1" cm="1">
        <f t="array" ref="J2205">(SUMPRODUCT(("var_ncap"=[1]OUT_TransportEnergyCons!$B$4:$B$10000)*1,ISNUMBER(SEARCH("T_b_c*ICE*nga*s2",[1]OUT_TransportEnergyCons!$A$4:$A$10000))*1,[1]OUT_TransportEnergyCons!H$4:H$10000))*1000</f>
        <v>2.48854673788518E-5</v>
      </c>
      <c r="K2205" s="1" cm="1">
        <f t="array" ref="K2205">(SUMPRODUCT(("var_ncap"=[1]OUT_TransportEnergyCons!$B$4:$B$10000)*1,ISNUMBER(SEARCH("T_b_c*ICE*nga*s2",[1]OUT_TransportEnergyCons!$A$4:$A$10000))*1,[1]OUT_TransportEnergyCons!I$4:I$10000))*1000</f>
        <v>0</v>
      </c>
    </row>
    <row r="2206" spans="2:11" x14ac:dyDescent="0.35">
      <c r="B2206" s="5" t="str">
        <f t="shared" si="1378"/>
        <v>SPS1</v>
      </c>
      <c r="C2206" s="5" t="str">
        <f t="shared" si="1379"/>
        <v>CH</v>
      </c>
      <c r="D2206" t="s">
        <v>2341</v>
      </c>
      <c r="E2206" t="s">
        <v>2000</v>
      </c>
      <c r="F2206" s="1" cm="1">
        <f t="array" ref="F2206">(SUMPRODUCT(("var_ncap"=[1]OUT_TransportEnergyCons!$B$4:$B$10000)*1,ISNUMBER(SEARCH("T_b_c*ICE*nga*s3",[1]OUT_TransportEnergyCons!$A$4:$A$10000))*1,[1]OUT_TransportEnergyCons!D$4:D$10000))*1000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(SUMPRODUCT(("var_ncap"=[1]OUT_TransportEnergyCons!$B$4:$B$10000)*1,ISNUMBER(SEARCH("T_b_c*ICE*nga*s3",[1]OUT_TransportEnergyCons!$A$4:$A$10000))*1,[1]OUT_TransportEnergyCons!E$4:E$10000))*1000</f>
        <v>7.8117276291962302E-5</v>
      </c>
      <c r="H2206" s="1" cm="1">
        <f t="array" ref="H2206">(SUMPRODUCT(("var_ncap"=[1]OUT_TransportEnergyCons!$B$4:$B$10000)*1,ISNUMBER(SEARCH("T_b_c*ICE*nga*s3",[1]OUT_TransportEnergyCons!$A$4:$A$10000))*1,[1]OUT_TransportEnergyCons!F$4:F$10000))*1000</f>
        <v>1.58061613169814E-4</v>
      </c>
      <c r="I2206" s="1" cm="1">
        <f t="array" ref="I2206">(SUMPRODUCT(("var_ncap"=[1]OUT_TransportEnergyCons!$B$4:$B$10000)*1,ISNUMBER(SEARCH("T_b_c*ICE*nga*s3",[1]OUT_TransportEnergyCons!$A$4:$A$10000))*1,[1]OUT_TransportEnergyCons!G$4:G$10000))*1000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(SUMPRODUCT(("var_ncap"=[1]OUT_TransportEnergyCons!$B$4:$B$10000)*1,ISNUMBER(SEARCH("T_b_c*ICE*nga*s3",[1]OUT_TransportEnergyCons!$A$4:$A$10000))*1,[1]OUT_TransportEnergyCons!H$4:H$10000))*1000</f>
        <v>2.1662619115373799E-5</v>
      </c>
      <c r="K2206" s="1" cm="1">
        <f t="array" ref="K2206">(SUMPRODUCT(("var_ncap"=[1]OUT_TransportEnergyCons!$B$4:$B$10000)*1,ISNUMBER(SEARCH("T_b_c*ICE*nga*s3",[1]OUT_TransportEnergyCons!$A$4:$A$10000))*1,[1]OUT_TransportEnergyCons!I$4:I$10000))*1000</f>
        <v>0</v>
      </c>
    </row>
    <row r="2207" spans="2:11" x14ac:dyDescent="0.35">
      <c r="B2207" s="5" t="str">
        <f t="shared" si="1378"/>
        <v>SPS1</v>
      </c>
      <c r="C2207" s="5" t="str">
        <f t="shared" si="1379"/>
        <v>CH</v>
      </c>
      <c r="D2207" t="s">
        <v>2342</v>
      </c>
      <c r="E2207" t="s">
        <v>2000</v>
      </c>
      <c r="F2207" s="1" cm="1">
        <f t="array" ref="F2207">(SUMPRODUCT(("var_ncap"=[1]OUT_TransportEnergyCons!$B$4:$B$10000)*1,ISNUMBER(SEARCH("T_b_c*ICE*nga*s4",[1]OUT_TransportEnergyCons!$A$4:$A$10000))*1,[1]OUT_TransportEnergyCons!D$4:D$10000))*1000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(SUMPRODUCT(("var_ncap"=[1]OUT_TransportEnergyCons!$B$4:$B$10000)*1,ISNUMBER(SEARCH("T_b_c*ICE*nga*s4",[1]OUT_TransportEnergyCons!$A$4:$A$10000))*1,[1]OUT_TransportEnergyCons!E$4:E$10000))*1000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(SUMPRODUCT(("var_ncap"=[1]OUT_TransportEnergyCons!$B$4:$B$10000)*1,ISNUMBER(SEARCH("T_b_c*ICE*nga*s4",[1]OUT_TransportEnergyCons!$A$4:$A$10000))*1,[1]OUT_TransportEnergyCons!F$4:F$10000))*1000</f>
        <v>1.6775619798694201E-5</v>
      </c>
      <c r="I2207" s="1" cm="1">
        <f t="array" ref="I2207">(SUMPRODUCT(("var_ncap"=[1]OUT_TransportEnergyCons!$B$4:$B$10000)*1,ISNUMBER(SEARCH("T_b_c*ICE*nga*s4",[1]OUT_TransportEnergyCons!$A$4:$A$10000))*1,[1]OUT_TransportEnergyCons!G$4:G$10000))*1000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(SUMPRODUCT(("var_ncap"=[1]OUT_TransportEnergyCons!$B$4:$B$10000)*1,ISNUMBER(SEARCH("T_b_c*ICE*nga*s4",[1]OUT_TransportEnergyCons!$A$4:$A$10000))*1,[1]OUT_TransportEnergyCons!H$4:H$10000))*1000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(SUMPRODUCT(("var_ncap"=[1]OUT_TransportEnergyCons!$B$4:$B$10000)*1,ISNUMBER(SEARCH("T_b_c*ICE*nga*s4",[1]OUT_TransportEnergyCons!$A$4:$A$10000))*1,[1]OUT_TransportEnergyCons!I$4:I$10000))*1000</f>
        <v>0</v>
      </c>
    </row>
    <row r="2208" spans="2:11" x14ac:dyDescent="0.35">
      <c r="B2208" s="5" t="str">
        <f t="shared" si="1378"/>
        <v>SPS1</v>
      </c>
      <c r="C2208" s="5" t="str">
        <f t="shared" si="1379"/>
        <v>CH</v>
      </c>
      <c r="D2208" s="2" t="s">
        <v>2343</v>
      </c>
      <c r="E2208" s="2" t="s">
        <v>2000</v>
      </c>
      <c r="F2208" s="3">
        <f t="shared" ref="F2208:K2208" si="1380">SUM(F2209:F2217)</f>
        <v>1.0030377293356299E-5</v>
      </c>
      <c r="G2208" s="3">
        <f t="shared" si="1380"/>
        <v>15.040315907997506</v>
      </c>
      <c r="H2208" s="3">
        <f t="shared" si="1380"/>
        <v>63.113150224533996</v>
      </c>
      <c r="I2208" s="3">
        <f t="shared" si="1380"/>
        <v>170.13028174362734</v>
      </c>
      <c r="J2208" s="3">
        <f t="shared" si="1380"/>
        <v>217.00640303526811</v>
      </c>
      <c r="K2208" s="3">
        <f t="shared" si="1380"/>
        <v>385.86519248811254</v>
      </c>
    </row>
    <row r="2209" spans="2:13" x14ac:dyDescent="0.35">
      <c r="B2209" s="5" t="str">
        <f t="shared" si="1378"/>
        <v>SPS1</v>
      </c>
      <c r="C2209" s="5" t="str">
        <f t="shared" si="1379"/>
        <v>CH</v>
      </c>
      <c r="D2209" t="s">
        <v>2344</v>
      </c>
      <c r="E2209" t="s">
        <v>2000</v>
      </c>
      <c r="F2209" s="1" cm="1">
        <f t="array" ref="F2209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09" s="1" cm="1">
        <f t="array" ref="G2209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09" s="1" cm="1">
        <f t="array" ref="H2209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09" s="1" cm="1">
        <f t="array" ref="I2209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09" s="1" cm="1">
        <f t="array" ref="J2209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09" s="1" cm="1">
        <f t="array" ref="K2209">(SUMPRODUCT(("var_ncap"=[1]OUT_TransportEnergyCons!$B$4:$B$10000)*1,("-"=[1]OUT_TransportEnergyCons!$C$4:$C$10000)*1,ISNUMBER(SEARCH("tfl*bev*ext",[1]OUT_TransportEnergyCons!$A$4:$A$10000))*1,[1]OUT_TransportEnergyCons!I$4:I$10000))*1000</f>
        <v>0</v>
      </c>
    </row>
    <row r="2210" spans="2:13" x14ac:dyDescent="0.35">
      <c r="B2210" s="5" t="str">
        <f t="shared" si="1378"/>
        <v>SPS1</v>
      </c>
      <c r="C2210" s="5" t="str">
        <f t="shared" si="1379"/>
        <v>CH</v>
      </c>
      <c r="D2210" t="s">
        <v>2345</v>
      </c>
      <c r="E2210" t="s">
        <v>2000</v>
      </c>
      <c r="F2210" s="1" cm="1">
        <f t="array" ref="F2210">(SUMPRODUCT(("var_ncap"=[1]OUT_TransportEnergyCons!$B$4:$B$10000)*1,("-"=[1]OUT_TransportEnergyCons!$C$4:$C$10000)*1,ISNUMBER(SEARCH("tfl*bev*",[1]OUT_TransportEnergyCons!$A$4:$A$10000))*1,[1]OUT_TransportEnergyCons!D$4:D$10000))*1000-F2209</f>
        <v>0</v>
      </c>
      <c r="G2210" s="1" cm="1">
        <f t="array" ref="G2210">(SUMPRODUCT(("var_ncap"=[1]OUT_TransportEnergyCons!$B$4:$B$10000)*1,("-"=[1]OUT_TransportEnergyCons!$C$4:$C$10000)*1,ISNUMBER(SEARCH("tfl*bev*",[1]OUT_TransportEnergyCons!$A$4:$A$10000))*1,[1]OUT_TransportEnergyCons!E$4:E$10000))*1000-G2209</f>
        <v>1.1596231073738901</v>
      </c>
      <c r="H2210" s="1" cm="1">
        <f t="array" ref="H2210">(SUMPRODUCT(("var_ncap"=[1]OUT_TransportEnergyCons!$B$4:$B$10000)*1,("-"=[1]OUT_TransportEnergyCons!$C$4:$C$10000)*1,ISNUMBER(SEARCH("tfl*bev*",[1]OUT_TransportEnergyCons!$A$4:$A$10000))*1,[1]OUT_TransportEnergyCons!F$4:F$10000))*1000-H2209</f>
        <v>1.82663948940412</v>
      </c>
      <c r="I2210" s="1" cm="1">
        <f t="array" ref="I2210">(SUMPRODUCT(("var_ncap"=[1]OUT_TransportEnergyCons!$B$4:$B$10000)*1,("-"=[1]OUT_TransportEnergyCons!$C$4:$C$10000)*1,ISNUMBER(SEARCH("tfl*bev*",[1]OUT_TransportEnergyCons!$A$4:$A$10000))*1,[1]OUT_TransportEnergyCons!G$4:G$10000))*1000-I2209</f>
        <v>75.959433467374694</v>
      </c>
      <c r="J2210" s="1" cm="1">
        <f t="array" ref="J2210">(SUMPRODUCT(("var_ncap"=[1]OUT_TransportEnergyCons!$B$4:$B$10000)*1,("-"=[1]OUT_TransportEnergyCons!$C$4:$C$10000)*1,ISNUMBER(SEARCH("tfl*bev*",[1]OUT_TransportEnergyCons!$A$4:$A$10000))*1,[1]OUT_TransportEnergyCons!H$4:H$10000))*1000-J2209</f>
        <v>217.00606841995099</v>
      </c>
      <c r="K2210" s="1" cm="1">
        <f t="array" ref="K2210">(SUMPRODUCT(("var_ncap"=[1]OUT_TransportEnergyCons!$B$4:$B$10000)*1,("-"=[1]OUT_TransportEnergyCons!$C$4:$C$10000)*1,ISNUMBER(SEARCH("tfl*bev*",[1]OUT_TransportEnergyCons!$A$4:$A$10000))*1,[1]OUT_TransportEnergyCons!I$4:I$10000))*1000-K2209</f>
        <v>385.86477567611001</v>
      </c>
    </row>
    <row r="2211" spans="2:13" x14ac:dyDescent="0.35">
      <c r="B2211" s="5" t="str">
        <f t="shared" si="1378"/>
        <v>SPS1</v>
      </c>
      <c r="C2211" s="5" t="str">
        <f t="shared" si="1379"/>
        <v>CH</v>
      </c>
      <c r="D2211" t="s">
        <v>2346</v>
      </c>
      <c r="E2211" t="s">
        <v>2000</v>
      </c>
      <c r="F2211" s="1" cm="1">
        <f t="array" ref="F2211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1" s="1" cm="1">
        <f t="array" ref="G2211">(SUMPRODUCT(("var_ncap"=[1]OUT_TransportEnergyCons!$B$4:$B$10000)*1,("-"=[1]OUT_TransportEnergyCons!$C$4:$C$10000)*1,ISNUMBER(SEARCH("tfl*h2o*",[1]OUT_TransportEnergyCons!$A$4:$A$10000))*1,[1]OUT_TransportEnergyCons!E$4:E$10000))*1000</f>
        <v>9.1309452907197897E-4</v>
      </c>
      <c r="H2211" s="1" cm="1">
        <f t="array" ref="H2211">(SUMPRODUCT(("var_ncap"=[1]OUT_TransportEnergyCons!$B$4:$B$10000)*1,("-"=[1]OUT_TransportEnergyCons!$C$4:$C$10000)*1,ISNUMBER(SEARCH("tfl*h2o*",[1]OUT_TransportEnergyCons!$A$4:$A$10000))*1,[1]OUT_TransportEnergyCons!F$4:F$10000))*1000</f>
        <v>4.4166612088904602E-4</v>
      </c>
      <c r="I2211" s="1" cm="1">
        <f t="array" ref="I2211">(SUMPRODUCT(("var_ncap"=[1]OUT_TransportEnergyCons!$B$4:$B$10000)*1,("-"=[1]OUT_TransportEnergyCons!$C$4:$C$10000)*1,ISNUMBER(SEARCH("tfl*h2o*",[1]OUT_TransportEnergyCons!$A$4:$A$10000))*1,[1]OUT_TransportEnergyCons!G$4:G$10000))*1000</f>
        <v>1.9746221865684E-4</v>
      </c>
      <c r="J2211" s="1" cm="1">
        <f t="array" ref="J2211">(SUMPRODUCT(("var_ncap"=[1]OUT_TransportEnergyCons!$B$4:$B$10000)*1,("-"=[1]OUT_TransportEnergyCons!$C$4:$C$10000)*1,ISNUMBER(SEARCH("tfl*h2o*",[1]OUT_TransportEnergyCons!$A$4:$A$10000))*1,[1]OUT_TransportEnergyCons!H$4:H$10000))*1000</f>
        <v>3.3461531711880601E-4</v>
      </c>
      <c r="K2211" s="1" cm="1">
        <f t="array" ref="K2211">(SUMPRODUCT(("var_ncap"=[1]OUT_TransportEnergyCons!$B$4:$B$10000)*1,("-"=[1]OUT_TransportEnergyCons!$C$4:$C$10000)*1,ISNUMBER(SEARCH("tfl*h2o*",[1]OUT_TransportEnergyCons!$A$4:$A$10000))*1,[1]OUT_TransportEnergyCons!I$4:I$10000))*1000</f>
        <v>4.1681200254801705E-4</v>
      </c>
    </row>
    <row r="2212" spans="2:13" x14ac:dyDescent="0.35">
      <c r="B2212" s="5" t="str">
        <f t="shared" si="1378"/>
        <v>SPS1</v>
      </c>
      <c r="C2212" s="5" t="str">
        <f t="shared" si="1379"/>
        <v>CH</v>
      </c>
      <c r="D2212" t="s">
        <v>2347</v>
      </c>
      <c r="E2212" t="s">
        <v>2000</v>
      </c>
      <c r="F2212" s="1" cm="1">
        <f t="array" ref="F2212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2" s="1" cm="1">
        <f t="array" ref="G2212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2" s="1" cm="1">
        <f t="array" ref="H2212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2" s="1" cm="1">
        <f t="array" ref="I2212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2" s="1" cm="1">
        <f t="array" ref="J2212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2" s="1" cm="1">
        <f t="array" ref="K2212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</row>
    <row r="2213" spans="2:13" x14ac:dyDescent="0.35">
      <c r="B2213" s="5" t="str">
        <f t="shared" si="1378"/>
        <v>SPS1</v>
      </c>
      <c r="C2213" s="5" t="str">
        <f t="shared" si="1379"/>
        <v>CH</v>
      </c>
      <c r="D2213" t="s">
        <v>2348</v>
      </c>
      <c r="E2213" t="s">
        <v>2000</v>
      </c>
      <c r="F2213" s="1" cm="1">
        <f t="array" ref="F2213">(SUMPRODUCT(("var_ncap"=[1]OUT_TransportEnergyCons!$B$4:$B$10000)*1,("-"=[1]OUT_TransportEnergyCons!$C$4:$C$10000)*1,ISNUMBER(SEARCH("TfL*ICE*GSL*",[1]OUT_TransportEnergyCons!$A$4:$A$10000))*1,[1]OUT_TransportEnergyCons!D$4:D$10000))*1000-F2212</f>
        <v>0</v>
      </c>
      <c r="G2213" s="1" cm="1">
        <f t="array" ref="G2213">(SUMPRODUCT(("var_ncap"=[1]OUT_TransportEnergyCons!$B$4:$B$10000)*1,("-"=[1]OUT_TransportEnergyCons!$C$4:$C$10000)*1,ISNUMBER(SEARCH("TfL*ICE*GSL*",[1]OUT_TransportEnergyCons!$A$4:$A$10000))*1,[1]OUT_TransportEnergyCons!E$4:E$10000))*1000-G2212</f>
        <v>6.3751038858738104E-2</v>
      </c>
      <c r="H2213" s="1" cm="1">
        <f t="array" ref="H2213">(SUMPRODUCT(("var_ncap"=[1]OUT_TransportEnergyCons!$B$4:$B$10000)*1,("-"=[1]OUT_TransportEnergyCons!$C$4:$C$10000)*1,ISNUMBER(SEARCH("TfL*ICE*GSL*",[1]OUT_TransportEnergyCons!$A$4:$A$10000))*1,[1]OUT_TransportEnergyCons!F$4:F$10000))*1000-H2212</f>
        <v>12.382691410790601</v>
      </c>
      <c r="I2213" s="1" cm="1">
        <f t="array" ref="I2213">(SUMPRODUCT(("var_ncap"=[1]OUT_TransportEnergyCons!$B$4:$B$10000)*1,("-"=[1]OUT_TransportEnergyCons!$C$4:$C$10000)*1,ISNUMBER(SEARCH("TfL*ICE*GSL*",[1]OUT_TransportEnergyCons!$A$4:$A$10000))*1,[1]OUT_TransportEnergyCons!G$4:G$10000))*1000-I2212</f>
        <v>27.4932265862797</v>
      </c>
      <c r="J2213" s="1" cm="1">
        <f t="array" ref="J2213">(SUMPRODUCT(("var_ncap"=[1]OUT_TransportEnergyCons!$B$4:$B$10000)*1,("-"=[1]OUT_TransportEnergyCons!$C$4:$C$10000)*1,ISNUMBER(SEARCH("TfL*ICE*GSL*",[1]OUT_TransportEnergyCons!$A$4:$A$10000))*1,[1]OUT_TransportEnergyCons!H$4:H$10000))*1000-J2212</f>
        <v>0</v>
      </c>
      <c r="K2213" s="1" cm="1">
        <f t="array" ref="K2213">(SUMPRODUCT(("var_ncap"=[1]OUT_TransportEnergyCons!$B$4:$B$10000)*1,("-"=[1]OUT_TransportEnergyCons!$C$4:$C$10000)*1,ISNUMBER(SEARCH("TfL*ICE*GSL*",[1]OUT_TransportEnergyCons!$A$4:$A$10000))*1,[1]OUT_TransportEnergyCons!I$4:I$10000))*1000-K2212</f>
        <v>0</v>
      </c>
    </row>
    <row r="2214" spans="2:13" x14ac:dyDescent="0.35">
      <c r="B2214" s="5" t="str">
        <f t="shared" si="1378"/>
        <v>SPS1</v>
      </c>
      <c r="C2214" s="5" t="str">
        <f t="shared" si="1379"/>
        <v>CH</v>
      </c>
      <c r="D2214" t="s">
        <v>2349</v>
      </c>
      <c r="E2214" t="s">
        <v>2000</v>
      </c>
      <c r="F2214" s="1" cm="1">
        <f t="array" ref="F2214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</row>
    <row r="2215" spans="2:13" x14ac:dyDescent="0.35">
      <c r="B2215" s="5" t="str">
        <f t="shared" si="1378"/>
        <v>SPS1</v>
      </c>
      <c r="C2215" s="5" t="str">
        <f t="shared" si="1379"/>
        <v>CH</v>
      </c>
      <c r="D2215" t="s">
        <v>2350</v>
      </c>
      <c r="E2215" t="s">
        <v>2000</v>
      </c>
      <c r="F2215" s="1" cm="1">
        <f t="array" ref="F2215">(SUMPRODUCT(("var_ncap"=[1]OUT_TransportEnergyCons!$B$4:$B$10000)*1,("-"=[1]OUT_TransportEnergyCons!$C$4:$C$10000)*1,ISNUMBER(SEARCH("tfl*ICE*DSL*",[1]OUT_TransportEnergyCons!$A$4:$A$10000))*1,[1]OUT_TransportEnergyCons!D$4:D$10000))*1000-F2214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(SUMPRODUCT(("var_ncap"=[1]OUT_TransportEnergyCons!$B$4:$B$10000)*1,("-"=[1]OUT_TransportEnergyCons!$C$4:$C$10000)*1,ISNUMBER(SEARCH("tfl*ICE*DSL*",[1]OUT_TransportEnergyCons!$A$4:$A$10000))*1,[1]OUT_TransportEnergyCons!E$4:E$10000))*1000-G2214</f>
        <v>1.0643963326420699E-2</v>
      </c>
      <c r="H2215" s="1" cm="1">
        <f t="array" ref="H2215">(SUMPRODUCT(("var_ncap"=[1]OUT_TransportEnergyCons!$B$4:$B$10000)*1,("-"=[1]OUT_TransportEnergyCons!$C$4:$C$10000)*1,ISNUMBER(SEARCH("tfl*ICE*DSL*",[1]OUT_TransportEnergyCons!$A$4:$A$10000))*1,[1]OUT_TransportEnergyCons!F$4:F$10000))*1000-H2214</f>
        <v>8.5414685627887801E-2</v>
      </c>
      <c r="I2215" s="1" cm="1">
        <f t="array" ref="I2215">(SUMPRODUCT(("var_ncap"=[1]OUT_TransportEnergyCons!$B$4:$B$10000)*1,("-"=[1]OUT_TransportEnergyCons!$C$4:$C$10000)*1,ISNUMBER(SEARCH("tfl*ICE*DSL*",[1]OUT_TransportEnergyCons!$A$4:$A$10000))*1,[1]OUT_TransportEnergyCons!G$4:G$10000))*1000-I2214</f>
        <v>3.9309939278252201E-2</v>
      </c>
      <c r="J2215" s="1" cm="1">
        <f t="array" ref="J2215">(SUMPRODUCT(("var_ncap"=[1]OUT_TransportEnergyCons!$B$4:$B$10000)*1,("-"=[1]OUT_TransportEnergyCons!$C$4:$C$10000)*1,ISNUMBER(SEARCH("tfl*ICE*DSL*",[1]OUT_TransportEnergyCons!$A$4:$A$10000))*1,[1]OUT_TransportEnergyCons!H$4:H$10000))*1000-J2214</f>
        <v>0</v>
      </c>
      <c r="K2215" s="1" cm="1">
        <f t="array" ref="K2215">(SUMPRODUCT(("var_ncap"=[1]OUT_TransportEnergyCons!$B$4:$B$10000)*1,("-"=[1]OUT_TransportEnergyCons!$C$4:$C$10000)*1,ISNUMBER(SEARCH("tfl*ICE*DSL*",[1]OUT_TransportEnergyCons!$A$4:$A$10000))*1,[1]OUT_TransportEnergyCons!I$4:I$10000))*1000-K2214</f>
        <v>0</v>
      </c>
    </row>
    <row r="2216" spans="2:13" x14ac:dyDescent="0.35">
      <c r="B2216" s="5" t="str">
        <f t="shared" si="1378"/>
        <v>SPS1</v>
      </c>
      <c r="C2216" s="5" t="str">
        <f t="shared" si="1379"/>
        <v>CH</v>
      </c>
      <c r="D2216" t="s">
        <v>2351</v>
      </c>
      <c r="E2216" t="s">
        <v>2000</v>
      </c>
      <c r="F2216" s="1" cm="1">
        <f t="array" ref="F2216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(SUMPRODUCT(("var_ncap"=[1]OUT_TransportEnergyCons!$B$4:$B$10000)*1,("-"=[1]OUT_TransportEnergyCons!$C$4:$C$10000)*1,ISNUMBER(SEARCH("tfl*hyb*DSL*",[1]OUT_TransportEnergyCons!$A$4:$A$10000))*1,[1]OUT_TransportEnergyCons!E$4:E$10000))*1000</f>
        <v>13.804326534551899</v>
      </c>
      <c r="H2216" s="1" cm="1">
        <f t="array" ref="H2216">(SUMPRODUCT(("var_ncap"=[1]OUT_TransportEnergyCons!$B$4:$B$10000)*1,("-"=[1]OUT_TransportEnergyCons!$C$4:$C$10000)*1,ISNUMBER(SEARCH("tfl*hyb*DSL*",[1]OUT_TransportEnergyCons!$A$4:$A$10000))*1,[1]OUT_TransportEnergyCons!F$4:F$10000))*1000</f>
        <v>48.817333106739198</v>
      </c>
      <c r="I2216" s="1" cm="1">
        <f t="array" ref="I2216">(SUMPRODUCT(("var_ncap"=[1]OUT_TransportEnergyCons!$B$4:$B$10000)*1,("-"=[1]OUT_TransportEnergyCons!$C$4:$C$10000)*1,ISNUMBER(SEARCH("tfl*hyb*DSL*",[1]OUT_TransportEnergyCons!$A$4:$A$10000))*1,[1]OUT_TransportEnergyCons!G$4:G$10000))*1000</f>
        <v>66.637198054628101</v>
      </c>
      <c r="J2216" s="1" cm="1">
        <f t="array" ref="J2216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16" s="1" cm="1">
        <f t="array" ref="K2216">(SUMPRODUCT(("var_ncap"=[1]OUT_TransportEnergyCons!$B$4:$B$10000)*1,("-"=[1]OUT_TransportEnergyCons!$C$4:$C$10000)*1,ISNUMBER(SEARCH("tfl*hyb*DSL*",[1]OUT_TransportEnergyCons!$A$4:$A$10000))*1,[1]OUT_TransportEnergyCons!I$4:I$10000))*1000</f>
        <v>0</v>
      </c>
    </row>
    <row r="2217" spans="2:13" x14ac:dyDescent="0.35">
      <c r="B2217" s="5" t="str">
        <f t="shared" si="1378"/>
        <v>SPS1</v>
      </c>
      <c r="C2217" s="5" t="str">
        <f t="shared" si="1379"/>
        <v>CH</v>
      </c>
      <c r="D2217" t="s">
        <v>2352</v>
      </c>
      <c r="E2217" t="s">
        <v>2000</v>
      </c>
      <c r="F2217" s="1" cm="1">
        <f t="array" ref="F2217">(SUMPRODUCT(("var_ncap"=[1]OUT_TransportEnergyCons!$B$4:$B$10000)*1,("-"=[1]OUT_TransportEnergyCons!$C$4:$C$10000)*1,ISNUMBER(SEARCH("tfl*ice*nga*",[1]OUT_TransportEnergyCons!$A$4:$A$10000))*1,[1]OUT_TransportEnergyCons!D$4:D$10000))*1000</f>
        <v>1.0030377293356299E-5</v>
      </c>
      <c r="G2217" s="1" cm="1">
        <f t="array" ref="G2217">(SUMPRODUCT(("var_ncap"=[1]OUT_TransportEnergyCons!$B$4:$B$10000)*1,("-"=[1]OUT_TransportEnergyCons!$C$4:$C$10000)*1,ISNUMBER(SEARCH("tfl*ice*nga*",[1]OUT_TransportEnergyCons!$A$4:$A$10000))*1,[1]OUT_TransportEnergyCons!E$4:E$10000))*1000</f>
        <v>1.0581693574871799E-3</v>
      </c>
      <c r="H2217" s="1" cm="1">
        <f t="array" ref="H2217">(SUMPRODUCT(("var_ncap"=[1]OUT_TransportEnergyCons!$B$4:$B$10000)*1,("-"=[1]OUT_TransportEnergyCons!$C$4:$C$10000)*1,ISNUMBER(SEARCH("tfl*ice*nga*",[1]OUT_TransportEnergyCons!$A$4:$A$10000))*1,[1]OUT_TransportEnergyCons!F$4:F$10000))*1000</f>
        <v>6.2986585130144401E-4</v>
      </c>
      <c r="I2217" s="1" cm="1">
        <f t="array" ref="I2217">(SUMPRODUCT(("var_ncap"=[1]OUT_TransportEnergyCons!$B$4:$B$10000)*1,("-"=[1]OUT_TransportEnergyCons!$C$4:$C$10000)*1,ISNUMBER(SEARCH("tfl*ice*nga*",[1]OUT_TransportEnergyCons!$A$4:$A$10000))*1,[1]OUT_TransportEnergyCons!G$4:G$10000))*1000</f>
        <v>9.1623384792079697E-4</v>
      </c>
      <c r="J2217" s="1" cm="1">
        <f t="array" ref="J2217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(SUMPRODUCT(("var_ncap"=[1]OUT_TransportEnergyCons!$B$4:$B$10000)*1,("-"=[1]OUT_TransportEnergyCons!$C$4:$C$10000)*1,ISNUMBER(SEARCH("tfl*ice*nga*",[1]OUT_TransportEnergyCons!$A$4:$A$10000))*1,[1]OUT_TransportEnergyCons!I$4:I$10000))*1000</f>
        <v>0</v>
      </c>
    </row>
    <row r="2218" spans="2:13" x14ac:dyDescent="0.35">
      <c r="B2218" s="5" t="str">
        <f t="shared" si="1378"/>
        <v>SPS1</v>
      </c>
      <c r="C2218" s="5" t="str">
        <f t="shared" si="1379"/>
        <v>CH</v>
      </c>
      <c r="D2218" s="2" t="s">
        <v>2353</v>
      </c>
      <c r="E2218" s="2" t="s">
        <v>2000</v>
      </c>
      <c r="F2218" s="3">
        <f t="shared" ref="F2218:K2218" si="1381">SUM(F2219:F2227)</f>
        <v>0</v>
      </c>
      <c r="G2218" s="3">
        <f t="shared" si="1381"/>
        <v>3.5674717789459867</v>
      </c>
      <c r="H2218" s="3">
        <f t="shared" si="1381"/>
        <v>9.3202162829120017</v>
      </c>
      <c r="I2218" s="3">
        <f t="shared" si="1381"/>
        <v>26.496602782469637</v>
      </c>
      <c r="J2218" s="3">
        <f t="shared" si="1381"/>
        <v>21.614806690330187</v>
      </c>
      <c r="K2218" s="3">
        <f t="shared" si="1381"/>
        <v>49.300261174976541</v>
      </c>
      <c r="M2218" s="3"/>
    </row>
    <row r="2219" spans="2:13" x14ac:dyDescent="0.35">
      <c r="B2219" s="5" t="str">
        <f t="shared" si="1378"/>
        <v>SPS1</v>
      </c>
      <c r="C2219" s="5" t="str">
        <f t="shared" si="1379"/>
        <v>CH</v>
      </c>
      <c r="D2219" t="s">
        <v>2354</v>
      </c>
      <c r="E2219" t="s">
        <v>2000</v>
      </c>
      <c r="F2219" s="1" cm="1">
        <f t="array" ref="F2219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(SUMPRODUCT(("var_ncap"=[1]OUT_TransportEnergyCons!$B$4:$B$10000)*1,("-"=[1]OUT_TransportEnergyCons!$C$4:$C$10000)*1,ISNUMBER(SEARCH("tfh*bev*ext",[1]OUT_TransportEnergyCons!$A$4:$A$10000))*1,[1]OUT_TransportEnergyCons!I$4:I$10000))*1000</f>
        <v>0</v>
      </c>
    </row>
    <row r="2220" spans="2:13" x14ac:dyDescent="0.35">
      <c r="B2220" s="5" t="str">
        <f t="shared" si="1378"/>
        <v>SPS1</v>
      </c>
      <c r="C2220" s="5" t="str">
        <f t="shared" si="1379"/>
        <v>CH</v>
      </c>
      <c r="D2220" t="s">
        <v>2355</v>
      </c>
      <c r="E2220" t="s">
        <v>2000</v>
      </c>
      <c r="F2220" s="1" cm="1">
        <f t="array" ref="F2220">(SUMPRODUCT(("var_ncap"=[1]OUT_TransportEnergyCons!$B$4:$B$10000)*1,("-"=[1]OUT_TransportEnergyCons!$C$4:$C$10000)*1,ISNUMBER(SEARCH("tfh*bev*",[1]OUT_TransportEnergyCons!$A$4:$A$10000))*1,[1]OUT_TransportEnergyCons!D$4:D$10000))*1000-F2219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(SUMPRODUCT(("var_ncap"=[1]OUT_TransportEnergyCons!$B$4:$B$10000)*1,("-"=[1]OUT_TransportEnergyCons!$C$4:$C$10000)*1,ISNUMBER(SEARCH("tfh*bev*",[1]OUT_TransportEnergyCons!$A$4:$A$10000))*1,[1]OUT_TransportEnergyCons!E$4:E$10000))*1000-G2219</f>
        <v>1.7133879364908701E-3</v>
      </c>
      <c r="H2220" s="1" cm="1">
        <f t="array" ref="H2220">(SUMPRODUCT(("var_ncap"=[1]OUT_TransportEnergyCons!$B$4:$B$10000)*1,("-"=[1]OUT_TransportEnergyCons!$C$4:$C$10000)*1,ISNUMBER(SEARCH("tfh*bev*",[1]OUT_TransportEnergyCons!$A$4:$A$10000))*1,[1]OUT_TransportEnergyCons!F$4:F$10000))*1000-H2219</f>
        <v>5.0243224815489295E-3</v>
      </c>
      <c r="I2220" s="1" cm="1">
        <f t="array" ref="I2220">(SUMPRODUCT(("var_ncap"=[1]OUT_TransportEnergyCons!$B$4:$B$10000)*1,("-"=[1]OUT_TransportEnergyCons!$C$4:$C$10000)*1,ISNUMBER(SEARCH("tfh*bev*",[1]OUT_TransportEnergyCons!$A$4:$A$10000))*1,[1]OUT_TransportEnergyCons!G$4:G$10000))*1000-I2219</f>
        <v>3.1524141537080598E-3</v>
      </c>
      <c r="J2220" s="1" cm="1">
        <f t="array" ref="J2220">(SUMPRODUCT(("var_ncap"=[1]OUT_TransportEnergyCons!$B$4:$B$10000)*1,("-"=[1]OUT_TransportEnergyCons!$C$4:$C$10000)*1,ISNUMBER(SEARCH("tfh*bev*",[1]OUT_TransportEnergyCons!$A$4:$A$10000))*1,[1]OUT_TransportEnergyCons!H$4:H$10000))*1000-J2219</f>
        <v>10.599859780537599</v>
      </c>
      <c r="K2220" s="1" cm="1">
        <f t="array" ref="K2220">(SUMPRODUCT(("var_ncap"=[1]OUT_TransportEnergyCons!$B$4:$B$10000)*1,("-"=[1]OUT_TransportEnergyCons!$C$4:$C$10000)*1,ISNUMBER(SEARCH("tfh*bev*",[1]OUT_TransportEnergyCons!$A$4:$A$10000))*1,[1]OUT_TransportEnergyCons!I$4:I$10000))*1000-K2219</f>
        <v>49.299428231884697</v>
      </c>
    </row>
    <row r="2221" spans="2:13" x14ac:dyDescent="0.35">
      <c r="B2221" s="5" t="str">
        <f t="shared" si="1378"/>
        <v>SPS1</v>
      </c>
      <c r="C2221" s="5" t="str">
        <f t="shared" si="1379"/>
        <v>CH</v>
      </c>
      <c r="D2221" t="s">
        <v>2356</v>
      </c>
      <c r="E2221" t="s">
        <v>2000</v>
      </c>
      <c r="F2221" s="1" cm="1">
        <f t="array" ref="F2221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(SUMPRODUCT(("var_ncap"=[1]OUT_TransportEnergyCons!$B$4:$B$10000)*1,("-"=[1]OUT_TransportEnergyCons!$C$4:$C$10000)*1,ISNUMBER(SEARCH("tfh*h2o*",[1]OUT_TransportEnergyCons!$A$4:$A$10000))*1,[1]OUT_TransportEnergyCons!E$4:E$10000))*1000</f>
        <v>8.9730668236310792E-5</v>
      </c>
      <c r="H2221" s="1" cm="1">
        <f t="array" ref="H2221">(SUMPRODUCT(("var_ncap"=[1]OUT_TransportEnergyCons!$B$4:$B$10000)*1,("-"=[1]OUT_TransportEnergyCons!$C$4:$C$10000)*1,ISNUMBER(SEARCH("tfh*h2o*",[1]OUT_TransportEnergyCons!$A$4:$A$10000))*1,[1]OUT_TransportEnergyCons!F$4:F$10000))*1000</f>
        <v>8.7275943607830402E-5</v>
      </c>
      <c r="I2221" s="1" cm="1">
        <f t="array" ref="I2221">(SUMPRODUCT(("var_ncap"=[1]OUT_TransportEnergyCons!$B$4:$B$10000)*1,("-"=[1]OUT_TransportEnergyCons!$C$4:$C$10000)*1,ISNUMBER(SEARCH("tfh*h2o*",[1]OUT_TransportEnergyCons!$A$4:$A$10000))*1,[1]OUT_TransportEnergyCons!G$4:G$10000))*1000</f>
        <v>1.22497066311644E-4</v>
      </c>
      <c r="J2221" s="1" cm="1">
        <f t="array" ref="J2221">(SUMPRODUCT(("var_ncap"=[1]OUT_TransportEnergyCons!$B$4:$B$10000)*1,("-"=[1]OUT_TransportEnergyCons!$C$4:$C$10000)*1,ISNUMBER(SEARCH("tfh*h2o*",[1]OUT_TransportEnergyCons!$A$4:$A$10000))*1,[1]OUT_TransportEnergyCons!H$4:H$10000))*1000</f>
        <v>5.6879669803138106E-4</v>
      </c>
      <c r="K2221" s="1" cm="1">
        <f t="array" ref="K2221">(SUMPRODUCT(("var_ncap"=[1]OUT_TransportEnergyCons!$B$4:$B$10000)*1,("-"=[1]OUT_TransportEnergyCons!$C$4:$C$10000)*1,ISNUMBER(SEARCH("tfh*h2o*",[1]OUT_TransportEnergyCons!$A$4:$A$10000))*1,[1]OUT_TransportEnergyCons!I$4:I$10000))*1000</f>
        <v>8.3294309184165597E-4</v>
      </c>
    </row>
    <row r="2222" spans="2:13" x14ac:dyDescent="0.35">
      <c r="B2222" s="5" t="str">
        <f t="shared" si="1378"/>
        <v>SPS1</v>
      </c>
      <c r="C2222" s="5" t="str">
        <f t="shared" si="1379"/>
        <v>CH</v>
      </c>
      <c r="D2222" t="s">
        <v>2357</v>
      </c>
      <c r="E2222" t="s">
        <v>2000</v>
      </c>
      <c r="F2222" s="1" cm="1">
        <f t="array" ref="F2222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2" s="1" cm="1">
        <f t="array" ref="H2222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2" s="1" cm="1">
        <f t="array" ref="I2222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2" s="1" cm="1">
        <f t="array" ref="J2222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</row>
    <row r="2223" spans="2:13" x14ac:dyDescent="0.35">
      <c r="B2223" s="5" t="str">
        <f t="shared" si="1378"/>
        <v>SPS1</v>
      </c>
      <c r="C2223" s="5" t="str">
        <f t="shared" si="1379"/>
        <v>CH</v>
      </c>
      <c r="D2223" t="s">
        <v>2358</v>
      </c>
      <c r="E2223" t="s">
        <v>2000</v>
      </c>
      <c r="F2223" s="1" cm="1">
        <f t="array" ref="F2223">(SUMPRODUCT(("var_ncap"=[1]OUT_TransportEnergyCons!$B$4:$B$10000)*1,("-"=[1]OUT_TransportEnergyCons!$C$4:$C$10000)*1,ISNUMBER(SEARCH("tfh*ICE*GSL*",[1]OUT_TransportEnergyCons!$A$4:$A$10000))*1,[1]OUT_TransportEnergyCons!D$4:D$10000))*1000-F2222</f>
        <v>0</v>
      </c>
      <c r="G2223" s="1" cm="1">
        <f t="array" ref="G2223">(SUMPRODUCT(("var_ncap"=[1]OUT_TransportEnergyCons!$B$4:$B$10000)*1,("-"=[1]OUT_TransportEnergyCons!$C$4:$C$10000)*1,ISNUMBER(SEARCH("tfh*ICE*GSL*",[1]OUT_TransportEnergyCons!$A$4:$A$10000))*1,[1]OUT_TransportEnergyCons!E$4:E$10000))*1000-G2222</f>
        <v>0</v>
      </c>
      <c r="H2223" s="1" cm="1">
        <f t="array" ref="H2223">(SUMPRODUCT(("var_ncap"=[1]OUT_TransportEnergyCons!$B$4:$B$10000)*1,("-"=[1]OUT_TransportEnergyCons!$C$4:$C$10000)*1,ISNUMBER(SEARCH("tfh*ICE*GSL*",[1]OUT_TransportEnergyCons!$A$4:$A$10000))*1,[1]OUT_TransportEnergyCons!F$4:F$10000))*1000-H2222</f>
        <v>0</v>
      </c>
      <c r="I2223" s="1" cm="1">
        <f t="array" ref="I2223">(SUMPRODUCT(("var_ncap"=[1]OUT_TransportEnergyCons!$B$4:$B$10000)*1,("-"=[1]OUT_TransportEnergyCons!$C$4:$C$10000)*1,ISNUMBER(SEARCH("tfh*ICE*GSL*",[1]OUT_TransportEnergyCons!$A$4:$A$10000))*1,[1]OUT_TransportEnergyCons!G$4:G$10000))*1000-I2222</f>
        <v>0</v>
      </c>
      <c r="J2223" s="1" cm="1">
        <f t="array" ref="J2223">(SUMPRODUCT(("var_ncap"=[1]OUT_TransportEnergyCons!$B$4:$B$10000)*1,("-"=[1]OUT_TransportEnergyCons!$C$4:$C$10000)*1,ISNUMBER(SEARCH("tfh*ICE*GSL*",[1]OUT_TransportEnergyCons!$A$4:$A$10000))*1,[1]OUT_TransportEnergyCons!H$4:H$10000))*1000-J2222</f>
        <v>0</v>
      </c>
      <c r="K2223" s="1" cm="1">
        <f t="array" ref="K2223">(SUMPRODUCT(("var_ncap"=[1]OUT_TransportEnergyCons!$B$4:$B$10000)*1,("-"=[1]OUT_TransportEnergyCons!$C$4:$C$10000)*1,ISNUMBER(SEARCH("tfh*ICE*GSL*",[1]OUT_TransportEnergyCons!$A$4:$A$10000))*1,[1]OUT_TransportEnergyCons!I$4:I$10000))*1000-K2222</f>
        <v>0</v>
      </c>
    </row>
    <row r="2224" spans="2:13" x14ac:dyDescent="0.35">
      <c r="B2224" s="5" t="str">
        <f t="shared" si="1378"/>
        <v>SPS1</v>
      </c>
      <c r="C2224" s="5" t="str">
        <f t="shared" si="1379"/>
        <v>CH</v>
      </c>
      <c r="D2224" t="s">
        <v>2359</v>
      </c>
      <c r="E2224" t="s">
        <v>2000</v>
      </c>
      <c r="F2224" s="1" cm="1">
        <f t="array" ref="F2224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</row>
    <row r="2225" spans="2:11" x14ac:dyDescent="0.35">
      <c r="B2225" s="5" t="str">
        <f t="shared" si="1378"/>
        <v>SPS1</v>
      </c>
      <c r="C2225" s="5" t="str">
        <f t="shared" si="1379"/>
        <v>CH</v>
      </c>
      <c r="D2225" t="s">
        <v>2360</v>
      </c>
      <c r="E2225" t="s">
        <v>2000</v>
      </c>
      <c r="F2225" s="1" cm="1">
        <f t="array" ref="F2225">(SUMPRODUCT(("var_ncap"=[1]OUT_TransportEnergyCons!$B$4:$B$10000)*1,("-"=[1]OUT_TransportEnergyCons!$C$4:$C$10000)*1,ISNUMBER(SEARCH("tfh*ICE*DSL*",[1]OUT_TransportEnergyCons!$A$4:$A$10000))*1,[1]OUT_TransportEnergyCons!D$4:D$10000))*1000-F2224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(SUMPRODUCT(("var_ncap"=[1]OUT_TransportEnergyCons!$B$4:$B$10000)*1,("-"=[1]OUT_TransportEnergyCons!$C$4:$C$10000)*1,ISNUMBER(SEARCH("tfh*ICE*DSL*",[1]OUT_TransportEnergyCons!$A$4:$A$10000))*1,[1]OUT_TransportEnergyCons!E$4:E$10000))*1000-G2224</f>
        <v>6.6732662186604703E-4</v>
      </c>
      <c r="H2225" s="1" cm="1">
        <f t="array" ref="H2225">(SUMPRODUCT(("var_ncap"=[1]OUT_TransportEnergyCons!$B$4:$B$10000)*1,("-"=[1]OUT_TransportEnergyCons!$C$4:$C$10000)*1,ISNUMBER(SEARCH("tfh*ICE*DSL*",[1]OUT_TransportEnergyCons!$A$4:$A$10000))*1,[1]OUT_TransportEnergyCons!F$4:F$10000))*1000-H2224</f>
        <v>2.8300654305750497E-3</v>
      </c>
      <c r="I2225" s="1" cm="1">
        <f t="array" ref="I2225">(SUMPRODUCT(("var_ncap"=[1]OUT_TransportEnergyCons!$B$4:$B$10000)*1,("-"=[1]OUT_TransportEnergyCons!$C$4:$C$10000)*1,ISNUMBER(SEARCH("tfh*ICE*DSL*",[1]OUT_TransportEnergyCons!$A$4:$A$10000))*1,[1]OUT_TransportEnergyCons!G$4:G$10000))*1000-I2224</f>
        <v>2.7800408955041202E-3</v>
      </c>
      <c r="J2225" s="1" cm="1">
        <f t="array" ref="J2225">(SUMPRODUCT(("var_ncap"=[1]OUT_TransportEnergyCons!$B$4:$B$10000)*1,("-"=[1]OUT_TransportEnergyCons!$C$4:$C$10000)*1,ISNUMBER(SEARCH("tfh*ICE*DSL*",[1]OUT_TransportEnergyCons!$A$4:$A$10000))*1,[1]OUT_TransportEnergyCons!H$4:H$10000))*1000-J2224</f>
        <v>7.7082879856627603E-4</v>
      </c>
      <c r="K2225" s="1" cm="1">
        <f t="array" ref="K2225">(SUMPRODUCT(("var_ncap"=[1]OUT_TransportEnergyCons!$B$4:$B$10000)*1,("-"=[1]OUT_TransportEnergyCons!$C$4:$C$10000)*1,ISNUMBER(SEARCH("tfh*ICE*DSL*",[1]OUT_TransportEnergyCons!$A$4:$A$10000))*1,[1]OUT_TransportEnergyCons!I$4:I$10000))*1000-K2224</f>
        <v>0</v>
      </c>
    </row>
    <row r="2226" spans="2:11" x14ac:dyDescent="0.35">
      <c r="B2226" s="5" t="str">
        <f t="shared" si="1378"/>
        <v>SPS1</v>
      </c>
      <c r="C2226" s="5" t="str">
        <f t="shared" si="1379"/>
        <v>CH</v>
      </c>
      <c r="D2226" t="s">
        <v>2361</v>
      </c>
      <c r="E2226" t="s">
        <v>2000</v>
      </c>
      <c r="F2226" s="1" cm="1">
        <f t="array" ref="F2226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(SUMPRODUCT(("var_ncap"=[1]OUT_TransportEnergyCons!$B$4:$B$10000)*1,("-"=[1]OUT_TransportEnergyCons!$C$4:$C$10000)*1,ISNUMBER(SEARCH("tfh*hyb*DSL*",[1]OUT_TransportEnergyCons!$A$4:$A$10000))*1,[1]OUT_TransportEnergyCons!E$4:E$10000))*1000</f>
        <v>3.56473957513743</v>
      </c>
      <c r="H2226" s="1" cm="1">
        <f t="array" ref="H2226">(SUMPRODUCT(("var_ncap"=[1]OUT_TransportEnergyCons!$B$4:$B$10000)*1,("-"=[1]OUT_TransportEnergyCons!$C$4:$C$10000)*1,ISNUMBER(SEARCH("tfh*hyb*DSL*",[1]OUT_TransportEnergyCons!$A$4:$A$10000))*1,[1]OUT_TransportEnergyCons!F$4:F$10000))*1000</f>
        <v>9.3116634127558893</v>
      </c>
      <c r="I2226" s="1" cm="1">
        <f t="array" ref="I2226">(SUMPRODUCT(("var_ncap"=[1]OUT_TransportEnergyCons!$B$4:$B$10000)*1,("-"=[1]OUT_TransportEnergyCons!$C$4:$C$10000)*1,ISNUMBER(SEARCH("tfh*hyb*DSL*",[1]OUT_TransportEnergyCons!$A$4:$A$10000))*1,[1]OUT_TransportEnergyCons!G$4:G$10000))*1000</f>
        <v>26.484361255487102</v>
      </c>
      <c r="J2226" s="1" cm="1">
        <f t="array" ref="J2226">(SUMPRODUCT(("var_ncap"=[1]OUT_TransportEnergyCons!$B$4:$B$10000)*1,("-"=[1]OUT_TransportEnergyCons!$C$4:$C$10000)*1,ISNUMBER(SEARCH("tfh*hyb*DSL*",[1]OUT_TransportEnergyCons!$A$4:$A$10000))*1,[1]OUT_TransportEnergyCons!H$4:H$10000))*1000</f>
        <v>11.009770585716099</v>
      </c>
      <c r="K2226" s="1" cm="1">
        <f t="array" ref="K2226">(SUMPRODUCT(("var_ncap"=[1]OUT_TransportEnergyCons!$B$4:$B$10000)*1,("-"=[1]OUT_TransportEnergyCons!$C$4:$C$10000)*1,ISNUMBER(SEARCH("tfh*hyb*DSL*",[1]OUT_TransportEnergyCons!$A$4:$A$10000))*1,[1]OUT_TransportEnergyCons!I$4:I$10000))*1000</f>
        <v>0</v>
      </c>
    </row>
    <row r="2227" spans="2:11" x14ac:dyDescent="0.35">
      <c r="B2227" s="5" t="str">
        <f t="shared" si="1378"/>
        <v>SPS1</v>
      </c>
      <c r="C2227" s="5" t="str">
        <f t="shared" si="1379"/>
        <v>CH</v>
      </c>
      <c r="D2227" t="s">
        <v>2362</v>
      </c>
      <c r="E2227" t="s">
        <v>2000</v>
      </c>
      <c r="F2227" s="1" cm="1">
        <f t="array" ref="F2227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(SUMPRODUCT(("var_ncap"=[1]OUT_TransportEnergyCons!$B$4:$B$10000)*1,("-"=[1]OUT_TransportEnergyCons!$C$4:$C$10000)*1,ISNUMBER(SEARCH("tfh*ice*nga*",[1]OUT_TransportEnergyCons!$A$4:$A$10000))*1,[1]OUT_TransportEnergyCons!E$4:E$10000))*1000</f>
        <v>2.6175858196367604E-4</v>
      </c>
      <c r="H2227" s="1" cm="1">
        <f t="array" ref="H2227">(SUMPRODUCT(("var_ncap"=[1]OUT_TransportEnergyCons!$B$4:$B$10000)*1,("-"=[1]OUT_TransportEnergyCons!$C$4:$C$10000)*1,ISNUMBER(SEARCH("tfh*ice*nga*",[1]OUT_TransportEnergyCons!$A$4:$A$10000))*1,[1]OUT_TransportEnergyCons!F$4:F$10000))*1000</f>
        <v>6.1120630038125501E-4</v>
      </c>
      <c r="I2227" s="1" cm="1">
        <f t="array" ref="I2227">(SUMPRODUCT(("var_ncap"=[1]OUT_TransportEnergyCons!$B$4:$B$10000)*1,("-"=[1]OUT_TransportEnergyCons!$C$4:$C$10000)*1,ISNUMBER(SEARCH("tfh*ice*nga*",[1]OUT_TransportEnergyCons!$A$4:$A$10000))*1,[1]OUT_TransportEnergyCons!G$4:G$10000))*1000</f>
        <v>6.1865748670133199E-3</v>
      </c>
      <c r="J2227" s="1" cm="1">
        <f t="array" ref="J2227">(SUMPRODUCT(("var_ncap"=[1]OUT_TransportEnergyCons!$B$4:$B$10000)*1,("-"=[1]OUT_TransportEnergyCons!$C$4:$C$10000)*1,ISNUMBER(SEARCH("tfh*ice*nga*",[1]OUT_TransportEnergyCons!$A$4:$A$10000))*1,[1]OUT_TransportEnergyCons!H$4:H$10000))*1000</f>
        <v>3.8366985798935502E-3</v>
      </c>
      <c r="K2227" s="1" cm="1">
        <f t="array" ref="K2227">(SUMPRODUCT(("var_ncap"=[1]OUT_TransportEnergyCons!$B$4:$B$10000)*1,("-"=[1]OUT_TransportEnergyCons!$C$4:$C$10000)*1,ISNUMBER(SEARCH("tfh*ice*nga*",[1]OUT_TransportEnergyCons!$A$4:$A$10000))*1,[1]OUT_TransportEnergyCons!I$4:I$10000))*1000</f>
        <v>0</v>
      </c>
    </row>
    <row r="2228" spans="2:11" x14ac:dyDescent="0.35">
      <c r="B2228" s="5" t="str">
        <f>'SPS1'!B1817</f>
        <v>SPS1</v>
      </c>
      <c r="C2228" s="5" t="str">
        <f>'SPS1'!C1817</f>
        <v>CH</v>
      </c>
      <c r="D2228" s="2" t="s">
        <v>2368</v>
      </c>
      <c r="E2228" s="2" t="s">
        <v>1859</v>
      </c>
      <c r="F2228" s="3">
        <f t="shared" ref="F2228:K2228" si="1382">SUM(F2229,F2248)</f>
        <v>1.6568370630683534E-5</v>
      </c>
      <c r="G2228" s="3">
        <f t="shared" si="1382"/>
        <v>0.71196550020314808</v>
      </c>
      <c r="H2228" s="3">
        <f t="shared" si="1382"/>
        <v>1.7332130371632597</v>
      </c>
      <c r="I2228" s="3">
        <f t="shared" si="1382"/>
        <v>1.8126850135835382</v>
      </c>
      <c r="J2228" s="3">
        <f t="shared" si="1382"/>
        <v>4.3938916319483319</v>
      </c>
      <c r="K2228" s="3">
        <f t="shared" si="1382"/>
        <v>4.1817876328525454</v>
      </c>
    </row>
    <row r="2229" spans="2:11" x14ac:dyDescent="0.35">
      <c r="B2229" s="5" t="str">
        <f>'SPS1'!B1817</f>
        <v>SPS1</v>
      </c>
      <c r="C2229" s="5" t="str">
        <f>'SPS1'!C1817</f>
        <v>CH</v>
      </c>
      <c r="D2229" t="s">
        <v>2369</v>
      </c>
      <c r="E2229" t="str">
        <f>E2228</f>
        <v>GWth/yr.</v>
      </c>
      <c r="F2229" s="1">
        <f t="shared" ref="F2229:K2229" si="1383">SUM(F2230,F2233,F2235,F2238,F2240,F2242,F2244,F2246)</f>
        <v>1.0097757941657567E-5</v>
      </c>
      <c r="G2229" s="1">
        <f t="shared" si="1383"/>
        <v>0.55486253784106176</v>
      </c>
      <c r="H2229" s="1">
        <f t="shared" si="1383"/>
        <v>1.5393031258121013</v>
      </c>
      <c r="I2229" s="1">
        <f t="shared" si="1383"/>
        <v>1.45645868571433</v>
      </c>
      <c r="J2229" s="1">
        <f t="shared" si="1383"/>
        <v>3.3713774789935465</v>
      </c>
      <c r="K2229" s="1">
        <f t="shared" si="1383"/>
        <v>3.0069372043356797</v>
      </c>
    </row>
    <row r="2230" spans="2:11" x14ac:dyDescent="0.35">
      <c r="B2230" s="5" t="str">
        <f>B2228</f>
        <v>SPS1</v>
      </c>
      <c r="C2230" s="5" t="str">
        <f>C2228</f>
        <v>CH</v>
      </c>
      <c r="D2230" t="s">
        <v>2370</v>
      </c>
      <c r="E2230" t="str">
        <f>E2228</f>
        <v>GWth/yr.</v>
      </c>
      <c r="F2230" s="1">
        <f t="shared" ref="F2230:K2230" si="1384">SUM(F2231:F2232)</f>
        <v>8.8377281082937396E-7</v>
      </c>
      <c r="G2230" s="1">
        <f t="shared" si="1384"/>
        <v>0.27036300173447869</v>
      </c>
      <c r="H2230" s="1">
        <f t="shared" si="1384"/>
        <v>0.97019263962992097</v>
      </c>
      <c r="I2230" s="1">
        <f t="shared" si="1384"/>
        <v>1.3051753086003755</v>
      </c>
      <c r="J2230" s="1">
        <f t="shared" si="1384"/>
        <v>2.344160074538574</v>
      </c>
      <c r="K2230" s="1">
        <f t="shared" si="1384"/>
        <v>2.6649477939330248</v>
      </c>
    </row>
    <row r="2231" spans="2:11" x14ac:dyDescent="0.35">
      <c r="B2231" s="5" t="str">
        <f t="shared" ref="B2231:B2262" si="1385">B2230</f>
        <v>SPS1</v>
      </c>
      <c r="C2231" s="5" t="str">
        <f t="shared" ref="C2231:C2262" si="1386">C2230</f>
        <v>CH</v>
      </c>
      <c r="D2231" t="s">
        <v>2371</v>
      </c>
      <c r="E2231" t="str">
        <f t="shared" ref="E2231:E2262" si="1387">E2230</f>
        <v>GWth/yr.</v>
      </c>
      <c r="F2231" s="1" cm="1">
        <f t="array" ref="F2231">SUMPRODUCT(([1]OUT_FinalEnergyCons!$B$4:$B$10000="var_ncap")*1,(ISNUMBER(SEARCH("RH*-SHELCBR",[1]OUT_FinalEnergyCons!$A$4:$A$10000)))*1,[1]OUT_FinalEnergyCons!D$4:D$10000)</f>
        <v>4.0881509587234295E-7</v>
      </c>
      <c r="G2231" s="1" cm="1">
        <f t="array" ref="G2231">SUMPRODUCT(([1]OUT_FinalEnergyCons!$B$4:$B$10000="var_ncap")*1,(ISNUMBER(SEARCH("RH*-SHELCBR",[1]OUT_FinalEnergyCons!$A$4:$A$10000)))*1,[1]OUT_FinalEnergyCons!E$4:E$10000)</f>
        <v>4.6047852184422922E-2</v>
      </c>
      <c r="H2231" s="1" cm="1">
        <f t="array" ref="H2231">SUMPRODUCT(([1]OUT_FinalEnergyCons!$B$4:$B$10000="var_ncap")*1,(ISNUMBER(SEARCH("RH*-SHELCBR",[1]OUT_FinalEnergyCons!$A$4:$A$10000)))*1,[1]OUT_FinalEnergyCons!F$4:F$10000)</f>
        <v>1.8654709055029551E-7</v>
      </c>
      <c r="I2231" s="1" cm="1">
        <f t="array" ref="I2231">SUMPRODUCT(([1]OUT_FinalEnergyCons!$B$4:$B$10000="var_ncap")*1,(ISNUMBER(SEARCH("RH*-SHELCBR",[1]OUT_FinalEnergyCons!$A$4:$A$10000)))*1,[1]OUT_FinalEnergyCons!G$4:G$10000)</f>
        <v>3.8638459655391597E-7</v>
      </c>
      <c r="J2231" s="1" cm="1">
        <f t="array" ref="J2231">SUMPRODUCT(([1]OUT_FinalEnergyCons!$B$4:$B$10000="var_ncap")*1,(ISNUMBER(SEARCH("RH*-SHELCBR",[1]OUT_FinalEnergyCons!$A$4:$A$10000)))*1,[1]OUT_FinalEnergyCons!H$4:H$10000)</f>
        <v>4.5418020114787797E-4</v>
      </c>
      <c r="K2231" s="1" cm="1">
        <f t="array" ref="K2231">SUMPRODUCT(([1]OUT_FinalEnergyCons!$B$4:$B$10000="var_ncap")*1,(ISNUMBER(SEARCH("RH*-SHELCBR",[1]OUT_FinalEnergyCons!$A$4:$A$10000)))*1,[1]OUT_FinalEnergyCons!I$4:I$10000)</f>
        <v>2.6149937066163019E-7</v>
      </c>
    </row>
    <row r="2232" spans="2:11" x14ac:dyDescent="0.35">
      <c r="B2232" s="5" t="str">
        <f t="shared" si="1385"/>
        <v>SPS1</v>
      </c>
      <c r="C2232" s="5" t="str">
        <f t="shared" si="1386"/>
        <v>CH</v>
      </c>
      <c r="D2232" t="s">
        <v>2372</v>
      </c>
      <c r="E2232" t="str">
        <f t="shared" si="1387"/>
        <v>GWth/yr.</v>
      </c>
      <c r="F2232" s="1" cm="1">
        <f t="array" ref="F2232">SUMPRODUCT(([1]OUT_FinalEnergyCons!$B$4:$B$10000="var_ncap")*1,ISNUMBER(SEARCH("RH*-SHELCHP",[1]OUT_FinalEnergyCons!$A$4:$A$10000))*1,[1]OUT_FinalEnergyCons!D$4:D$10000)</f>
        <v>4.7495771495703101E-7</v>
      </c>
      <c r="G2232" s="1" cm="1">
        <f t="array" ref="G2232">SUMPRODUCT(([1]OUT_FinalEnergyCons!$B$4:$B$10000="var_ncap")*1,ISNUMBER(SEARCH("RH*-SHELCHP",[1]OUT_FinalEnergyCons!$A$4:$A$10000))*1,[1]OUT_FinalEnergyCons!E$4:E$10000)</f>
        <v>0.2243151495500558</v>
      </c>
      <c r="H2232" s="1" cm="1">
        <f t="array" ref="H2232">SUMPRODUCT(([1]OUT_FinalEnergyCons!$B$4:$B$10000="var_ncap")*1,ISNUMBER(SEARCH("RH*-SHELCHP",[1]OUT_FinalEnergyCons!$A$4:$A$10000))*1,[1]OUT_FinalEnergyCons!F$4:F$10000)</f>
        <v>0.97019245308283042</v>
      </c>
      <c r="I2232" s="1" cm="1">
        <f t="array" ref="I2232">SUMPRODUCT(([1]OUT_FinalEnergyCons!$B$4:$B$10000="var_ncap")*1,ISNUMBER(SEARCH("RH*-SHELCHP",[1]OUT_FinalEnergyCons!$A$4:$A$10000))*1,[1]OUT_FinalEnergyCons!G$4:G$10000)</f>
        <v>1.3051749222157789</v>
      </c>
      <c r="J2232" s="1" cm="1">
        <f t="array" ref="J2232">SUMPRODUCT(([1]OUT_FinalEnergyCons!$B$4:$B$10000="var_ncap")*1,ISNUMBER(SEARCH("RH*-SHELCHP",[1]OUT_FinalEnergyCons!$A$4:$A$10000))*1,[1]OUT_FinalEnergyCons!H$4:H$10000)</f>
        <v>2.3437058943374263</v>
      </c>
      <c r="K2232" s="1" cm="1">
        <f t="array" ref="K2232">SUMPRODUCT(([1]OUT_FinalEnergyCons!$B$4:$B$10000="var_ncap")*1,ISNUMBER(SEARCH("RH*-SHELCHP",[1]OUT_FinalEnergyCons!$A$4:$A$10000))*1,[1]OUT_FinalEnergyCons!I$4:I$10000)</f>
        <v>2.6649475324336542</v>
      </c>
    </row>
    <row r="2233" spans="2:11" x14ac:dyDescent="0.35">
      <c r="B2233" s="5" t="str">
        <f t="shared" si="1385"/>
        <v>SPS1</v>
      </c>
      <c r="C2233" s="5" t="str">
        <f t="shared" si="1386"/>
        <v>CH</v>
      </c>
      <c r="D2233" t="s">
        <v>2373</v>
      </c>
      <c r="E2233" t="str">
        <f t="shared" si="1387"/>
        <v>GWth/yr.</v>
      </c>
      <c r="F2233" s="1">
        <f t="shared" ref="F2233:K2233" si="1388">F2234</f>
        <v>0</v>
      </c>
      <c r="G2233" s="1">
        <f t="shared" si="1388"/>
        <v>2.1804307813786077E-5</v>
      </c>
      <c r="H2233" s="1">
        <f t="shared" si="1388"/>
        <v>2.0383533312491722E-2</v>
      </c>
      <c r="I2233" s="1">
        <f t="shared" si="1388"/>
        <v>1.975631289138672E-7</v>
      </c>
      <c r="J2233" s="1">
        <f t="shared" si="1388"/>
        <v>0.1895571506703301</v>
      </c>
      <c r="K2233" s="1">
        <f t="shared" si="1388"/>
        <v>1.2574139928239952E-7</v>
      </c>
    </row>
    <row r="2234" spans="2:11" x14ac:dyDescent="0.35">
      <c r="B2234" s="5" t="str">
        <f t="shared" si="1385"/>
        <v>SPS1</v>
      </c>
      <c r="C2234" s="5" t="str">
        <f t="shared" si="1386"/>
        <v>CH</v>
      </c>
      <c r="D2234" t="s">
        <v>2374</v>
      </c>
      <c r="E2234" t="str">
        <f t="shared" si="1387"/>
        <v>GWth/yr.</v>
      </c>
      <c r="F2234" s="1" cm="1">
        <f t="array" ref="F2234">SUMPRODUCT(([1]OUT_FinalEnergyCons!$B$4:$B$10000="var_ncap")*1, (ISNUMBER(SEARCH("RH*-SHLFOBR",[1]OUT_FinalEnergyCons!$A$4:$A$10000)))*1,[1]OUT_FinalEnergyCons!D$4:D$10000)</f>
        <v>0</v>
      </c>
      <c r="G2234" s="1" cm="1">
        <f t="array" ref="G2234">SUMPRODUCT(([1]OUT_FinalEnergyCons!$B$4:$B$10000="var_ncap")*1, (ISNUMBER(SEARCH("RH*-SHLFOBR",[1]OUT_FinalEnergyCons!$A$4:$A$10000)))*1,[1]OUT_FinalEnergyCons!E$4:E$10000)</f>
        <v>2.1804307813786077E-5</v>
      </c>
      <c r="H2234" s="1" cm="1">
        <f t="array" ref="H2234">SUMPRODUCT(([1]OUT_FinalEnergyCons!$B$4:$B$10000="var_ncap")*1, (ISNUMBER(SEARCH("RH*-SHLFOBR",[1]OUT_FinalEnergyCons!$A$4:$A$10000)))*1,[1]OUT_FinalEnergyCons!F$4:F$10000)</f>
        <v>2.0383533312491722E-2</v>
      </c>
      <c r="I2234" s="1" cm="1">
        <f t="array" ref="I2234">SUMPRODUCT(([1]OUT_FinalEnergyCons!$B$4:$B$10000="var_ncap")*1, (ISNUMBER(SEARCH("RH*-SHLFOBR",[1]OUT_FinalEnergyCons!$A$4:$A$10000)))*1,[1]OUT_FinalEnergyCons!G$4:G$10000)</f>
        <v>1.975631289138672E-7</v>
      </c>
      <c r="J2234" s="1" cm="1">
        <f t="array" ref="J2234">SUMPRODUCT(([1]OUT_FinalEnergyCons!$B$4:$B$10000="var_ncap")*1, (ISNUMBER(SEARCH("RH*-SHLFOBR",[1]OUT_FinalEnergyCons!$A$4:$A$10000)))*1,[1]OUT_FinalEnergyCons!H$4:H$10000)</f>
        <v>0.1895571506703301</v>
      </c>
      <c r="K2234" s="1" cm="1">
        <f t="array" ref="K2234">SUMPRODUCT(([1]OUT_FinalEnergyCons!$B$4:$B$10000="var_ncap")*1, (ISNUMBER(SEARCH("RH*-SHLFOBR",[1]OUT_FinalEnergyCons!$A$4:$A$10000)))*1,[1]OUT_FinalEnergyCons!I$4:I$10000)</f>
        <v>1.2574139928239952E-7</v>
      </c>
    </row>
    <row r="2235" spans="2:11" x14ac:dyDescent="0.35">
      <c r="B2235" s="5" t="str">
        <f t="shared" si="1385"/>
        <v>SPS1</v>
      </c>
      <c r="C2235" s="5" t="str">
        <f t="shared" si="1386"/>
        <v>CH</v>
      </c>
      <c r="D2235" t="s">
        <v>2375</v>
      </c>
      <c r="E2235" t="str">
        <f t="shared" si="1387"/>
        <v>GWth/yr.</v>
      </c>
      <c r="F2235" s="1">
        <f t="shared" ref="F2235:K2235" si="1389">SUM(F2236:F2237)</f>
        <v>4.8657969724965803E-8</v>
      </c>
      <c r="G2235" s="1">
        <f t="shared" si="1389"/>
        <v>0.16508288249215633</v>
      </c>
      <c r="H2235" s="1">
        <f t="shared" si="1389"/>
        <v>0.44288607016830517</v>
      </c>
      <c r="I2235" s="1">
        <f t="shared" si="1389"/>
        <v>0.15045105797605454</v>
      </c>
      <c r="J2235" s="1">
        <f t="shared" si="1389"/>
        <v>0.61617357563148234</v>
      </c>
      <c r="K2235" s="1">
        <f t="shared" si="1389"/>
        <v>0.28671056189323552</v>
      </c>
    </row>
    <row r="2236" spans="2:11" x14ac:dyDescent="0.35">
      <c r="B2236" s="5" t="str">
        <f t="shared" si="1385"/>
        <v>SPS1</v>
      </c>
      <c r="C2236" s="5" t="str">
        <f t="shared" si="1386"/>
        <v>CH</v>
      </c>
      <c r="D2236" t="s">
        <v>2376</v>
      </c>
      <c r="E2236" t="str">
        <f t="shared" si="1387"/>
        <v>GWth/yr.</v>
      </c>
      <c r="F2236" s="1" cm="1">
        <f t="array" ref="F2236">SUMPRODUCT(([1]OUT_FinalEnergyCons!$B$4:$B$10000="var_ncap")*1, (ISNUMBER(SEARCH("RH*-SHNGABR",[1]OUT_FinalEnergyCons!$A$4:$A$10000)))*1,[1]OUT_FinalEnergyCons!D$4:D$10000)</f>
        <v>0</v>
      </c>
      <c r="G2236" s="1" cm="1">
        <f t="array" ref="G2236">SUMPRODUCT(([1]OUT_FinalEnergyCons!$B$4:$B$10000="var_ncap")*1, (ISNUMBER(SEARCH("RH*-SHNGABR",[1]OUT_FinalEnergyCons!$A$4:$A$10000)))*1,[1]OUT_FinalEnergyCons!E$4:E$10000)</f>
        <v>0.16508205721177974</v>
      </c>
      <c r="H2236" s="1" cm="1">
        <f t="array" ref="H2236">SUMPRODUCT(([1]OUT_FinalEnergyCons!$B$4:$B$10000="var_ncap")*1, (ISNUMBER(SEARCH("RH*-SHNGABR",[1]OUT_FinalEnergyCons!$A$4:$A$10000)))*1,[1]OUT_FinalEnergyCons!F$4:F$10000)</f>
        <v>0.15159907518599028</v>
      </c>
      <c r="I2236" s="1" cm="1">
        <f t="array" ref="I2236">SUMPRODUCT(([1]OUT_FinalEnergyCons!$B$4:$B$10000="var_ncap")*1, (ISNUMBER(SEARCH("RH*-SHNGABR",[1]OUT_FinalEnergyCons!$A$4:$A$10000)))*1,[1]OUT_FinalEnergyCons!G$4:G$10000)</f>
        <v>1.0759865749607094E-6</v>
      </c>
      <c r="J2236" s="1" cm="1">
        <f t="array" ref="J2236">SUMPRODUCT(([1]OUT_FinalEnergyCons!$B$4:$B$10000="var_ncap")*1, (ISNUMBER(SEARCH("RH*-SHNGABR",[1]OUT_FinalEnergyCons!$A$4:$A$10000)))*1,[1]OUT_FinalEnergyCons!H$4:H$10000)</f>
        <v>0.24783937105118542</v>
      </c>
      <c r="K2236" s="1" cm="1">
        <f t="array" ref="K2236">SUMPRODUCT(([1]OUT_FinalEnergyCons!$B$4:$B$10000="var_ncap")*1, (ISNUMBER(SEARCH("RH*-SHNGABR",[1]OUT_FinalEnergyCons!$A$4:$A$10000)))*1,[1]OUT_FinalEnergyCons!I$4:I$10000)</f>
        <v>8.0656652637551665E-7</v>
      </c>
    </row>
    <row r="2237" spans="2:11" x14ac:dyDescent="0.35">
      <c r="B2237" s="5" t="str">
        <f t="shared" si="1385"/>
        <v>SPS1</v>
      </c>
      <c r="C2237" s="5" t="str">
        <f t="shared" si="1386"/>
        <v>CH</v>
      </c>
      <c r="D2237" t="s">
        <v>2377</v>
      </c>
      <c r="E2237" t="str">
        <f t="shared" si="1387"/>
        <v>GWth/yr.</v>
      </c>
      <c r="F2237" s="1" cm="1">
        <f t="array" ref="F2237">SUMPRODUCT(([1]OUT_FinalEnergyCons!$B$4:$B$10000="var_ncap")*1,ISNUMBER(SEARCH("RH*-SHngahp",[1]OUT_FinalEnergyCons!$A$4:$A$10000))*1,[1]OUT_FinalEnergyCons!D$4:D$10000)</f>
        <v>4.8657969724965803E-8</v>
      </c>
      <c r="G2237" s="1" cm="1">
        <f t="array" ref="G2237">SUMPRODUCT(([1]OUT_FinalEnergyCons!$B$4:$B$10000="var_ncap")*1,ISNUMBER(SEARCH("RH*-SHngahp",[1]OUT_FinalEnergyCons!$A$4:$A$10000))*1,[1]OUT_FinalEnergyCons!E$4:E$10000)</f>
        <v>8.2528037658192141E-7</v>
      </c>
      <c r="H2237" s="1" cm="1">
        <f t="array" ref="H2237">SUMPRODUCT(([1]OUT_FinalEnergyCons!$B$4:$B$10000="var_ncap")*1,ISNUMBER(SEARCH("RH*-SHngahp",[1]OUT_FinalEnergyCons!$A$4:$A$10000))*1,[1]OUT_FinalEnergyCons!F$4:F$10000)</f>
        <v>0.29128699498231492</v>
      </c>
      <c r="I2237" s="1" cm="1">
        <f t="array" ref="I2237">SUMPRODUCT(([1]OUT_FinalEnergyCons!$B$4:$B$10000="var_ncap")*1,ISNUMBER(SEARCH("RH*-SHngahp",[1]OUT_FinalEnergyCons!$A$4:$A$10000))*1,[1]OUT_FinalEnergyCons!G$4:G$10000)</f>
        <v>0.15044998198947959</v>
      </c>
      <c r="J2237" s="1" cm="1">
        <f t="array" ref="J2237">SUMPRODUCT(([1]OUT_FinalEnergyCons!$B$4:$B$10000="var_ncap")*1,ISNUMBER(SEARCH("RH*-SHngahp",[1]OUT_FinalEnergyCons!$A$4:$A$10000))*1,[1]OUT_FinalEnergyCons!H$4:H$10000)</f>
        <v>0.36833420458029698</v>
      </c>
      <c r="K2237" s="1" cm="1">
        <f t="array" ref="K2237">SUMPRODUCT(([1]OUT_FinalEnergyCons!$B$4:$B$10000="var_ncap")*1,ISNUMBER(SEARCH("RH*-SHngahp",[1]OUT_FinalEnergyCons!$A$4:$A$10000))*1,[1]OUT_FinalEnergyCons!I$4:I$10000)</f>
        <v>0.28670975532670911</v>
      </c>
    </row>
    <row r="2238" spans="2:11" x14ac:dyDescent="0.35">
      <c r="B2238" s="5" t="str">
        <f t="shared" si="1385"/>
        <v>SPS1</v>
      </c>
      <c r="C2238" s="5" t="str">
        <f t="shared" si="1386"/>
        <v>CH</v>
      </c>
      <c r="D2238" t="s">
        <v>2378</v>
      </c>
      <c r="E2238" t="str">
        <f t="shared" si="1387"/>
        <v>GWth/yr.</v>
      </c>
      <c r="F2238" s="1">
        <f t="shared" ref="F2238:K2238" si="1390">F2239</f>
        <v>0</v>
      </c>
      <c r="G2238" s="1">
        <f t="shared" si="1390"/>
        <v>0</v>
      </c>
      <c r="H2238" s="1">
        <f t="shared" si="1390"/>
        <v>0</v>
      </c>
      <c r="I2238" s="1">
        <f t="shared" si="1390"/>
        <v>0</v>
      </c>
      <c r="J2238" s="1">
        <f t="shared" si="1390"/>
        <v>0</v>
      </c>
      <c r="K2238" s="1">
        <f t="shared" si="1390"/>
        <v>0</v>
      </c>
    </row>
    <row r="2239" spans="2:11" x14ac:dyDescent="0.35">
      <c r="B2239" s="5" t="str">
        <f t="shared" si="1385"/>
        <v>SPS1</v>
      </c>
      <c r="C2239" s="5" t="str">
        <f t="shared" si="1386"/>
        <v>CH</v>
      </c>
      <c r="D2239" t="s">
        <v>2379</v>
      </c>
      <c r="E2239" t="str">
        <f t="shared" si="1387"/>
        <v>GWth/yr.</v>
      </c>
      <c r="F2239" s="1" cm="1">
        <f t="array" ref="F2239">SUMPRODUCT(([1]OUT_FinalEnergyCons!$B$4:$B$10000="var_ncap")*1, (ISNUMBER(SEARCH("RH*-SHCOABR",[1]OUT_FinalEnergyCons!$A$4:$A$10000)))*1,[1]OUT_FinalEnergyCons!D$4:D$10000)</f>
        <v>0</v>
      </c>
      <c r="G2239" s="1" cm="1">
        <f t="array" ref="G2239">SUMPRODUCT(([1]OUT_FinalEnergyCons!$B$4:$B$10000="var_ncap")*1, (ISNUMBER(SEARCH("RH*-SHCOABR",[1]OUT_FinalEnergyCons!$A$4:$A$10000)))*1,[1]OUT_FinalEnergyCons!E$4:E$10000)</f>
        <v>0</v>
      </c>
      <c r="H2239" s="1" cm="1">
        <f t="array" ref="H2239">SUMPRODUCT(([1]OUT_FinalEnergyCons!$B$4:$B$10000="var_ncap")*1, (ISNUMBER(SEARCH("RH*-SHCOABR",[1]OUT_FinalEnergyCons!$A$4:$A$10000)))*1,[1]OUT_FinalEnergyCons!F$4:F$10000)</f>
        <v>0</v>
      </c>
      <c r="I2239" s="1" cm="1">
        <f t="array" ref="I2239">SUMPRODUCT(([1]OUT_FinalEnergyCons!$B$4:$B$10000="var_ncap")*1, (ISNUMBER(SEARCH("RH*-SHCOABR",[1]OUT_FinalEnergyCons!$A$4:$A$10000)))*1,[1]OUT_FinalEnergyCons!G$4:G$10000)</f>
        <v>0</v>
      </c>
      <c r="J2239" s="1" cm="1">
        <f t="array" ref="J2239">SUMPRODUCT(([1]OUT_FinalEnergyCons!$B$4:$B$10000="var_ncap")*1, (ISNUMBER(SEARCH("RH*-SHCOABR",[1]OUT_FinalEnergyCons!$A$4:$A$10000)))*1,[1]OUT_FinalEnergyCons!H$4:H$10000)</f>
        <v>0</v>
      </c>
      <c r="K2239" s="1" cm="1">
        <f t="array" ref="K2239">SUMPRODUCT(([1]OUT_FinalEnergyCons!$B$4:$B$10000="var_ncap")*1, (ISNUMBER(SEARCH("RH*-SHCOABR",[1]OUT_FinalEnergyCons!$A$4:$A$10000)))*1,[1]OUT_FinalEnergyCons!I$4:I$10000)</f>
        <v>0</v>
      </c>
    </row>
    <row r="2240" spans="2:11" x14ac:dyDescent="0.35">
      <c r="B2240" s="5" t="str">
        <f t="shared" si="1385"/>
        <v>SPS1</v>
      </c>
      <c r="C2240" s="5" t="str">
        <f t="shared" si="1386"/>
        <v>CH</v>
      </c>
      <c r="D2240" t="s">
        <v>2380</v>
      </c>
      <c r="E2240" t="str">
        <f t="shared" si="1387"/>
        <v>GWth/yr.</v>
      </c>
      <c r="F2240" s="1">
        <f t="shared" ref="F2240:K2240" si="1391">F2241</f>
        <v>4.08090379286871E-7</v>
      </c>
      <c r="G2240" s="1">
        <f t="shared" si="1391"/>
        <v>6.0566987785598901E-2</v>
      </c>
      <c r="H2240" s="1">
        <f t="shared" si="1391"/>
        <v>0.10569910556671955</v>
      </c>
      <c r="I2240" s="1">
        <f t="shared" si="1391"/>
        <v>2.7125015315538462E-7</v>
      </c>
      <c r="J2240" s="1">
        <f t="shared" si="1391"/>
        <v>0.1833397600157006</v>
      </c>
      <c r="K2240" s="1">
        <f t="shared" si="1391"/>
        <v>4.2487891892315006E-2</v>
      </c>
    </row>
    <row r="2241" spans="2:11" x14ac:dyDescent="0.35">
      <c r="B2241" s="5" t="str">
        <f t="shared" si="1385"/>
        <v>SPS1</v>
      </c>
      <c r="C2241" s="5" t="str">
        <f t="shared" si="1386"/>
        <v>CH</v>
      </c>
      <c r="D2241" t="s">
        <v>2381</v>
      </c>
      <c r="E2241" t="str">
        <f t="shared" si="1387"/>
        <v>GWth/yr.</v>
      </c>
      <c r="F2241" s="1" cm="1">
        <f t="array" ref="F2241">SUMPRODUCT(([1]OUT_FinalEnergyCons!$B$4:$B$10000="var_ncap")*1, (ISNUMBER(SEARCH("RH*-SHWODBR",[1]OUT_FinalEnergyCons!$A$4:$A$10000)))*1,[1]OUT_FinalEnergyCons!D$4:D$10000)</f>
        <v>4.08090379286871E-7</v>
      </c>
      <c r="G2241" s="1" cm="1">
        <f t="array" ref="G2241">SUMPRODUCT(([1]OUT_FinalEnergyCons!$B$4:$B$10000="var_ncap")*1, (ISNUMBER(SEARCH("RH*-SHWODBR",[1]OUT_FinalEnergyCons!$A$4:$A$10000)))*1,[1]OUT_FinalEnergyCons!E$4:E$10000)</f>
        <v>6.0566987785598901E-2</v>
      </c>
      <c r="H2241" s="1" cm="1">
        <f t="array" ref="H2241">SUMPRODUCT(([1]OUT_FinalEnergyCons!$B$4:$B$10000="var_ncap")*1, (ISNUMBER(SEARCH("RH*-SHWODBR",[1]OUT_FinalEnergyCons!$A$4:$A$10000)))*1,[1]OUT_FinalEnergyCons!F$4:F$10000)</f>
        <v>0.10569910556671955</v>
      </c>
      <c r="I2241" s="1" cm="1">
        <f t="array" ref="I2241">SUMPRODUCT(([1]OUT_FinalEnergyCons!$B$4:$B$10000="var_ncap")*1, (ISNUMBER(SEARCH("RH*-SHWODBR",[1]OUT_FinalEnergyCons!$A$4:$A$10000)))*1,[1]OUT_FinalEnergyCons!G$4:G$10000)</f>
        <v>2.7125015315538462E-7</v>
      </c>
      <c r="J2241" s="1" cm="1">
        <f t="array" ref="J2241">SUMPRODUCT(([1]OUT_FinalEnergyCons!$B$4:$B$10000="var_ncap")*1, (ISNUMBER(SEARCH("RH*-SHWODBR",[1]OUT_FinalEnergyCons!$A$4:$A$10000)))*1,[1]OUT_FinalEnergyCons!H$4:H$10000)</f>
        <v>0.1833397600157006</v>
      </c>
      <c r="K2241" s="1" cm="1">
        <f t="array" ref="K2241">SUMPRODUCT(([1]OUT_FinalEnergyCons!$B$4:$B$10000="var_ncap")*1, (ISNUMBER(SEARCH("RH*-SHWODBR",[1]OUT_FinalEnergyCons!$A$4:$A$10000)))*1,[1]OUT_FinalEnergyCons!I$4:I$10000)</f>
        <v>4.2487891892315006E-2</v>
      </c>
    </row>
    <row r="2242" spans="2:11" x14ac:dyDescent="0.35">
      <c r="B2242" s="5" t="str">
        <f t="shared" si="1385"/>
        <v>SPS1</v>
      </c>
      <c r="C2242" s="5" t="str">
        <f t="shared" si="1386"/>
        <v>CH</v>
      </c>
      <c r="D2242" t="s">
        <v>2382</v>
      </c>
      <c r="E2242" t="str">
        <f t="shared" si="1387"/>
        <v>GWth/yr.</v>
      </c>
      <c r="F2242" s="1">
        <f t="shared" ref="F2242:K2242" si="1392">F2243</f>
        <v>6.2818662249807702E-7</v>
      </c>
      <c r="G2242" s="1">
        <f t="shared" si="1392"/>
        <v>3.5910432264288944E-2</v>
      </c>
      <c r="H2242" s="1">
        <f t="shared" si="1392"/>
        <v>1.3820874852542726E-4</v>
      </c>
      <c r="I2242" s="1">
        <f t="shared" si="1392"/>
        <v>8.2704576624871475E-4</v>
      </c>
      <c r="J2242" s="1">
        <f t="shared" si="1392"/>
        <v>3.175264711636383E-2</v>
      </c>
      <c r="K2242" s="1">
        <f t="shared" si="1392"/>
        <v>1.1005198570483826E-2</v>
      </c>
    </row>
    <row r="2243" spans="2:11" x14ac:dyDescent="0.35">
      <c r="B2243" s="5" t="str">
        <f t="shared" si="1385"/>
        <v>SPS1</v>
      </c>
      <c r="C2243" s="5" t="str">
        <f t="shared" si="1386"/>
        <v>CH</v>
      </c>
      <c r="D2243" t="s">
        <v>2383</v>
      </c>
      <c r="E2243" t="str">
        <f t="shared" si="1387"/>
        <v>GWth/yr.</v>
      </c>
      <c r="F2243" s="1" cm="1">
        <f t="array" ref="F2243">SUMPRODUCT(([1]OUT_FinalEnergyCons!$B$4:$B$10000="var_ncap")*1, (ISNUMBER(SEARCH("RH*-SHPLTBR",[1]OUT_FinalEnergyCons!$A$4:$A$10000)))*1,[1]OUT_FinalEnergyCons!D$4:D$10000)</f>
        <v>6.2818662249807702E-7</v>
      </c>
      <c r="G2243" s="1" cm="1">
        <f t="array" ref="G2243">SUMPRODUCT(([1]OUT_FinalEnergyCons!$B$4:$B$10000="var_ncap")*1, (ISNUMBER(SEARCH("RH*-SHPLTBR",[1]OUT_FinalEnergyCons!$A$4:$A$10000)))*1,[1]OUT_FinalEnergyCons!E$4:E$10000)</f>
        <v>3.5910432264288944E-2</v>
      </c>
      <c r="H2243" s="1" cm="1">
        <f t="array" ref="H2243">SUMPRODUCT(([1]OUT_FinalEnergyCons!$B$4:$B$10000="var_ncap")*1, (ISNUMBER(SEARCH("RH*-SHPLTBR",[1]OUT_FinalEnergyCons!$A$4:$A$10000)))*1,[1]OUT_FinalEnergyCons!F$4:F$10000)</f>
        <v>1.3820874852542726E-4</v>
      </c>
      <c r="I2243" s="1" cm="1">
        <f t="array" ref="I2243">SUMPRODUCT(([1]OUT_FinalEnergyCons!$B$4:$B$10000="var_ncap")*1, (ISNUMBER(SEARCH("RH*-SHPLTBR",[1]OUT_FinalEnergyCons!$A$4:$A$10000)))*1,[1]OUT_FinalEnergyCons!G$4:G$10000)</f>
        <v>8.2704576624871475E-4</v>
      </c>
      <c r="J2243" s="1" cm="1">
        <f t="array" ref="J2243">SUMPRODUCT(([1]OUT_FinalEnergyCons!$B$4:$B$10000="var_ncap")*1, (ISNUMBER(SEARCH("RH*-SHPLTBR",[1]OUT_FinalEnergyCons!$A$4:$A$10000)))*1,[1]OUT_FinalEnergyCons!H$4:H$10000)</f>
        <v>3.175264711636383E-2</v>
      </c>
      <c r="K2243" s="1" cm="1">
        <f t="array" ref="K2243">SUMPRODUCT(([1]OUT_FinalEnergyCons!$B$4:$B$10000="var_ncap")*1, (ISNUMBER(SEARCH("RH*-SHPLTBR",[1]OUT_FinalEnergyCons!$A$4:$A$10000)))*1,[1]OUT_FinalEnergyCons!I$4:I$10000)</f>
        <v>1.1005198570483826E-2</v>
      </c>
    </row>
    <row r="2244" spans="2:11" x14ac:dyDescent="0.35">
      <c r="B2244" s="5" t="str">
        <f t="shared" si="1385"/>
        <v>SPS1</v>
      </c>
      <c r="C2244" s="5" t="str">
        <f t="shared" si="1386"/>
        <v>CH</v>
      </c>
      <c r="D2244" t="s">
        <v>2384</v>
      </c>
      <c r="E2244" t="str">
        <f t="shared" si="1387"/>
        <v>GWth/yr.</v>
      </c>
      <c r="F2244" s="1">
        <f t="shared" ref="F2244:K2244" si="1393">F2245</f>
        <v>8.1290501593182794E-6</v>
      </c>
      <c r="G2244" s="1">
        <f t="shared" si="1393"/>
        <v>2.2917429256725103E-2</v>
      </c>
      <c r="H2244" s="1">
        <f t="shared" si="1393"/>
        <v>3.568386138660661E-6</v>
      </c>
      <c r="I2244" s="1">
        <f t="shared" si="1393"/>
        <v>4.8045583690454812E-6</v>
      </c>
      <c r="J2244" s="1">
        <f t="shared" si="1393"/>
        <v>6.3942710210950892E-3</v>
      </c>
      <c r="K2244" s="1">
        <f t="shared" si="1393"/>
        <v>1.7856323052210573E-3</v>
      </c>
    </row>
    <row r="2245" spans="2:11" x14ac:dyDescent="0.35">
      <c r="B2245" s="5" t="str">
        <f t="shared" si="1385"/>
        <v>SPS1</v>
      </c>
      <c r="C2245" s="5" t="str">
        <f t="shared" si="1386"/>
        <v>CH</v>
      </c>
      <c r="D2245" t="s">
        <v>2385</v>
      </c>
      <c r="E2245" t="str">
        <f t="shared" si="1387"/>
        <v>GWth/yr.</v>
      </c>
      <c r="F2245" s="1" cm="1">
        <f t="array" ref="F2245">SUMPRODUCT(([1]OUT_FinalEnergyCons!$B$4:$B$10000="var_ncap")*1, (ISNUMBER(SEARCH("RH*-SHSOLBR",[1]OUT_FinalEnergyCons!$A$4:$A$10000)))*1,[1]OUT_FinalEnergyCons!D$4:D$10000)</f>
        <v>8.1290501593182794E-6</v>
      </c>
      <c r="G2245" s="1" cm="1">
        <f t="array" ref="G2245">SUMPRODUCT(([1]OUT_FinalEnergyCons!$B$4:$B$10000="var_ncap")*1, (ISNUMBER(SEARCH("RH*-SHSOLBR",[1]OUT_FinalEnergyCons!$A$4:$A$10000)))*1,[1]OUT_FinalEnergyCons!E$4:E$10000)</f>
        <v>2.2917429256725103E-2</v>
      </c>
      <c r="H2245" s="1" cm="1">
        <f t="array" ref="H2245">SUMPRODUCT(([1]OUT_FinalEnergyCons!$B$4:$B$10000="var_ncap")*1, (ISNUMBER(SEARCH("RH*-SHSOLBR",[1]OUT_FinalEnergyCons!$A$4:$A$10000)))*1,[1]OUT_FinalEnergyCons!F$4:F$10000)</f>
        <v>3.568386138660661E-6</v>
      </c>
      <c r="I2245" s="1" cm="1">
        <f t="array" ref="I2245">SUMPRODUCT(([1]OUT_FinalEnergyCons!$B$4:$B$10000="var_ncap")*1, (ISNUMBER(SEARCH("RH*-SHSOLBR",[1]OUT_FinalEnergyCons!$A$4:$A$10000)))*1,[1]OUT_FinalEnergyCons!G$4:G$10000)</f>
        <v>4.8045583690454812E-6</v>
      </c>
      <c r="J2245" s="1" cm="1">
        <f t="array" ref="J2245">SUMPRODUCT(([1]OUT_FinalEnergyCons!$B$4:$B$10000="var_ncap")*1, (ISNUMBER(SEARCH("RH*-SHSOLBR",[1]OUT_FinalEnergyCons!$A$4:$A$10000)))*1,[1]OUT_FinalEnergyCons!H$4:H$10000)</f>
        <v>6.3942710210950892E-3</v>
      </c>
      <c r="K2245" s="1" cm="1">
        <f t="array" ref="K2245">SUMPRODUCT(([1]OUT_FinalEnergyCons!$B$4:$B$10000="var_ncap")*1, (ISNUMBER(SEARCH("RH*-SHSOLBR",[1]OUT_FinalEnergyCons!$A$4:$A$10000)))*1,[1]OUT_FinalEnergyCons!I$4:I$10000)</f>
        <v>1.7856323052210573E-3</v>
      </c>
    </row>
    <row r="2246" spans="2:11" x14ac:dyDescent="0.35">
      <c r="B2246" s="5" t="str">
        <f t="shared" si="1385"/>
        <v>SPS1</v>
      </c>
      <c r="C2246" s="5" t="str">
        <f t="shared" si="1386"/>
        <v>CH</v>
      </c>
      <c r="D2246" t="s">
        <v>2386</v>
      </c>
      <c r="E2246" t="str">
        <f t="shared" si="1387"/>
        <v>GWth/yr.</v>
      </c>
      <c r="F2246" s="1">
        <f t="shared" ref="F2246:K2246" si="1394">F2247</f>
        <v>0</v>
      </c>
      <c r="G2246" s="1">
        <f t="shared" si="1394"/>
        <v>0</v>
      </c>
      <c r="H2246" s="1">
        <f t="shared" si="1394"/>
        <v>0</v>
      </c>
      <c r="I2246" s="1">
        <f t="shared" si="1394"/>
        <v>0</v>
      </c>
      <c r="J2246" s="1">
        <f t="shared" si="1394"/>
        <v>0</v>
      </c>
      <c r="K2246" s="1">
        <f t="shared" si="1394"/>
        <v>0</v>
      </c>
    </row>
    <row r="2247" spans="2:11" x14ac:dyDescent="0.35">
      <c r="B2247" s="5" t="str">
        <f t="shared" si="1385"/>
        <v>SPS1</v>
      </c>
      <c r="C2247" s="5" t="str">
        <f t="shared" si="1386"/>
        <v>CH</v>
      </c>
      <c r="D2247" t="s">
        <v>2387</v>
      </c>
      <c r="E2247" t="str">
        <f t="shared" si="1387"/>
        <v>GWth/yr.</v>
      </c>
      <c r="F2247" s="1" cm="1">
        <f t="array" ref="F2247">SUMPRODUCT(([1]OUT_FinalEnergyCons!$B$4:$B$10000="var_ncap")*1, (ISNUMBER(SEARCH("RH*-SHH2BR",[1]OUT_FinalEnergyCons!$A$4:$A$10000)))*1,[1]OUT_FinalEnergyCons!D$4:D$10000)</f>
        <v>0</v>
      </c>
      <c r="G2247" s="1" cm="1">
        <f t="array" ref="G2247">SUMPRODUCT(([1]OUT_FinalEnergyCons!$B$4:$B$10000="var_ncap")*1, (ISNUMBER(SEARCH("RH*-SHH2BR",[1]OUT_FinalEnergyCons!$A$4:$A$10000)))*1,[1]OUT_FinalEnergyCons!E$4:E$10000)</f>
        <v>0</v>
      </c>
      <c r="H2247" s="1" cm="1">
        <f t="array" ref="H2247">SUMPRODUCT(([1]OUT_FinalEnergyCons!$B$4:$B$10000="var_ncap")*1, (ISNUMBER(SEARCH("RH*-SHH2BR",[1]OUT_FinalEnergyCons!$A$4:$A$10000)))*1,[1]OUT_FinalEnergyCons!F$4:F$10000)</f>
        <v>0</v>
      </c>
      <c r="I2247" s="1" cm="1">
        <f t="array" ref="I2247">SUMPRODUCT(([1]OUT_FinalEnergyCons!$B$4:$B$10000="var_ncap")*1, (ISNUMBER(SEARCH("RH*-SHH2BR",[1]OUT_FinalEnergyCons!$A$4:$A$10000)))*1,[1]OUT_FinalEnergyCons!G$4:G$10000)</f>
        <v>0</v>
      </c>
      <c r="J2247" s="1" cm="1">
        <f t="array" ref="J2247">SUMPRODUCT(([1]OUT_FinalEnergyCons!$B$4:$B$10000="var_ncap")*1, (ISNUMBER(SEARCH("RH*-SHH2BR",[1]OUT_FinalEnergyCons!$A$4:$A$10000)))*1,[1]OUT_FinalEnergyCons!H$4:H$10000)</f>
        <v>0</v>
      </c>
      <c r="K2247" s="1" cm="1">
        <f t="array" ref="K2247">SUMPRODUCT(([1]OUT_FinalEnergyCons!$B$4:$B$10000="var_ncap")*1, (ISNUMBER(SEARCH("RH*-SHH2BR",[1]OUT_FinalEnergyCons!$A$4:$A$10000)))*1,[1]OUT_FinalEnergyCons!I$4:I$10000)</f>
        <v>0</v>
      </c>
    </row>
    <row r="2248" spans="2:11" x14ac:dyDescent="0.35">
      <c r="B2248" s="5" t="str">
        <f t="shared" si="1385"/>
        <v>SPS1</v>
      </c>
      <c r="C2248" s="5" t="str">
        <f t="shared" si="1386"/>
        <v>CH</v>
      </c>
      <c r="D2248" t="s">
        <v>2388</v>
      </c>
      <c r="E2248" t="str">
        <f t="shared" si="1387"/>
        <v>GWth/yr.</v>
      </c>
      <c r="F2248" s="1">
        <f t="shared" ref="F2248:K2248" si="1395">SUM(F2249,F2252,F2254,F2257,F2259,F2261,F2263,F2265)</f>
        <v>6.4706126890259693E-6</v>
      </c>
      <c r="G2248" s="1">
        <f t="shared" si="1395"/>
        <v>0.15710296236208632</v>
      </c>
      <c r="H2248" s="1">
        <f t="shared" si="1395"/>
        <v>0.19390991135115845</v>
      </c>
      <c r="I2248" s="1">
        <f t="shared" si="1395"/>
        <v>0.3562263278692081</v>
      </c>
      <c r="J2248" s="1">
        <f t="shared" si="1395"/>
        <v>1.0225141529547856</v>
      </c>
      <c r="K2248" s="1">
        <f t="shared" si="1395"/>
        <v>1.1748504285168653</v>
      </c>
    </row>
    <row r="2249" spans="2:11" x14ac:dyDescent="0.35">
      <c r="B2249" s="5" t="str">
        <f t="shared" si="1385"/>
        <v>SPS1</v>
      </c>
      <c r="C2249" s="5" t="str">
        <f t="shared" si="1386"/>
        <v>CH</v>
      </c>
      <c r="D2249" t="s">
        <v>2389</v>
      </c>
      <c r="E2249" t="str">
        <f t="shared" si="1387"/>
        <v>GWth/yr.</v>
      </c>
      <c r="F2249" s="1">
        <f t="shared" ref="F2249:K2249" si="1396">SUM(F2250:F2251)</f>
        <v>6.4706126890259693E-6</v>
      </c>
      <c r="G2249" s="1">
        <f t="shared" si="1396"/>
        <v>6.7298327618772191E-2</v>
      </c>
      <c r="H2249" s="1">
        <f t="shared" si="1396"/>
        <v>8.9835484059523518E-2</v>
      </c>
      <c r="I2249" s="1">
        <f t="shared" si="1396"/>
        <v>0.29245494475976463</v>
      </c>
      <c r="J2249" s="1">
        <f t="shared" si="1396"/>
        <v>0.58359157073605405</v>
      </c>
      <c r="K2249" s="1">
        <f t="shared" si="1396"/>
        <v>0.73712310684827076</v>
      </c>
    </row>
    <row r="2250" spans="2:11" x14ac:dyDescent="0.35">
      <c r="B2250" s="5" t="str">
        <f t="shared" si="1385"/>
        <v>SPS1</v>
      </c>
      <c r="C2250" s="5" t="str">
        <f t="shared" si="1386"/>
        <v>CH</v>
      </c>
      <c r="D2250" t="s">
        <v>2390</v>
      </c>
      <c r="E2250" t="str">
        <f t="shared" si="1387"/>
        <v>GWth/yr.</v>
      </c>
      <c r="F2250" s="1" cm="1">
        <f t="array" ref="F2250">SUMPRODUCT(([1]OUT_FinalEnergyCons!$B$4:$B$10000="var_ncap")*1,(ISNUMBER(SEARCH("RH*-WHELCBR",[1]OUT_FinalEnergyCons!$A$4:$A$10000)))*1,[1]OUT_FinalEnergyCons!D$4:D$10000)</f>
        <v>4.6439782275253796E-6</v>
      </c>
      <c r="G2250" s="1" cm="1">
        <f t="array" ref="G2250">SUMPRODUCT(([1]OUT_FinalEnergyCons!$B$4:$B$10000="var_ncap")*1,(ISNUMBER(SEARCH("RH*-WHELCBR",[1]OUT_FinalEnergyCons!$A$4:$A$10000)))*1,[1]OUT_FinalEnergyCons!E$4:E$10000)</f>
        <v>3.4527898838790899E-2</v>
      </c>
      <c r="H2250" s="1" cm="1">
        <f t="array" ref="H2250">SUMPRODUCT(([1]OUT_FinalEnergyCons!$B$4:$B$10000="var_ncap")*1,(ISNUMBER(SEARCH("RH*-WHELCBR",[1]OUT_FinalEnergyCons!$A$4:$A$10000)))*1,[1]OUT_FinalEnergyCons!F$4:F$10000)</f>
        <v>1.1246137561502E-7</v>
      </c>
      <c r="I2250" s="1" cm="1">
        <f t="array" ref="I2250">SUMPRODUCT(([1]OUT_FinalEnergyCons!$B$4:$B$10000="var_ncap")*1,(ISNUMBER(SEARCH("RH*-WHELCBR",[1]OUT_FinalEnergyCons!$A$4:$A$10000)))*1,[1]OUT_FinalEnergyCons!G$4:G$10000)</f>
        <v>1.99905755607881E-7</v>
      </c>
      <c r="J2250" s="1" cm="1">
        <f t="array" ref="J2250">SUMPRODUCT(([1]OUT_FinalEnergyCons!$B$4:$B$10000="var_ncap")*1,(ISNUMBER(SEARCH("RH*-WHELCBR",[1]OUT_FinalEnergyCons!$A$4:$A$10000)))*1,[1]OUT_FinalEnergyCons!H$4:H$10000)</f>
        <v>0.136949896333626</v>
      </c>
      <c r="K2250" s="1" cm="1">
        <f t="array" ref="K2250">SUMPRODUCT(([1]OUT_FinalEnergyCons!$B$4:$B$10000="var_ncap")*1,(ISNUMBER(SEARCH("RH*-WHELCBR",[1]OUT_FinalEnergyCons!$A$4:$A$10000)))*1,[1]OUT_FinalEnergyCons!I$4:I$10000)</f>
        <v>1.3909095078375201E-6</v>
      </c>
    </row>
    <row r="2251" spans="2:11" x14ac:dyDescent="0.35">
      <c r="B2251" s="5" t="str">
        <f t="shared" si="1385"/>
        <v>SPS1</v>
      </c>
      <c r="C2251" s="5" t="str">
        <f t="shared" si="1386"/>
        <v>CH</v>
      </c>
      <c r="D2251" t="s">
        <v>2391</v>
      </c>
      <c r="E2251" t="str">
        <f t="shared" si="1387"/>
        <v>GWth/yr.</v>
      </c>
      <c r="F2251" s="1" cm="1">
        <f t="array" ref="F2251">SUMPRODUCT(([1]OUT_FinalEnergyCons!$B$4:$B$10000="var_ncap")*1,ISNUMBER(SEARCH("RH*-WHELCHP",[1]OUT_FinalEnergyCons!$A$4:$A$10000))*1,[1]OUT_FinalEnergyCons!D$4:D$10000)</f>
        <v>1.8266344615005901E-6</v>
      </c>
      <c r="G2251" s="1" cm="1">
        <f t="array" ref="G2251">SUMPRODUCT(([1]OUT_FinalEnergyCons!$B$4:$B$10000="var_ncap")*1,ISNUMBER(SEARCH("RH*-WHELCHP",[1]OUT_FinalEnergyCons!$A$4:$A$10000))*1,[1]OUT_FinalEnergyCons!E$4:E$10000)</f>
        <v>3.2770428779981299E-2</v>
      </c>
      <c r="H2251" s="1" cm="1">
        <f t="array" ref="H2251">SUMPRODUCT(([1]OUT_FinalEnergyCons!$B$4:$B$10000="var_ncap")*1,ISNUMBER(SEARCH("RH*-WHELCHP",[1]OUT_FinalEnergyCons!$A$4:$A$10000))*1,[1]OUT_FinalEnergyCons!F$4:F$10000)</f>
        <v>8.9835371598147903E-2</v>
      </c>
      <c r="I2251" s="1" cm="1">
        <f t="array" ref="I2251">SUMPRODUCT(([1]OUT_FinalEnergyCons!$B$4:$B$10000="var_ncap")*1,ISNUMBER(SEARCH("RH*-WHELCHP",[1]OUT_FinalEnergyCons!$A$4:$A$10000))*1,[1]OUT_FinalEnergyCons!G$4:G$10000)</f>
        <v>0.29245474485400902</v>
      </c>
      <c r="J2251" s="1" cm="1">
        <f t="array" ref="J2251">SUMPRODUCT(([1]OUT_FinalEnergyCons!$B$4:$B$10000="var_ncap")*1,ISNUMBER(SEARCH("RH*-WHELCHP",[1]OUT_FinalEnergyCons!$A$4:$A$10000))*1,[1]OUT_FinalEnergyCons!H$4:H$10000)</f>
        <v>0.44664167440242802</v>
      </c>
      <c r="K2251" s="1" cm="1">
        <f t="array" ref="K2251">SUMPRODUCT(([1]OUT_FinalEnergyCons!$B$4:$B$10000="var_ncap")*1,ISNUMBER(SEARCH("RH*-WHELCHP",[1]OUT_FinalEnergyCons!$A$4:$A$10000))*1,[1]OUT_FinalEnergyCons!I$4:I$10000)</f>
        <v>0.73712171593876297</v>
      </c>
    </row>
    <row r="2252" spans="2:11" x14ac:dyDescent="0.35">
      <c r="B2252" s="5" t="str">
        <f t="shared" si="1385"/>
        <v>SPS1</v>
      </c>
      <c r="C2252" s="5" t="str">
        <f t="shared" si="1386"/>
        <v>CH</v>
      </c>
      <c r="D2252" t="s">
        <v>2392</v>
      </c>
      <c r="E2252" t="str">
        <f t="shared" si="1387"/>
        <v>GWth/yr.</v>
      </c>
      <c r="F2252" s="1">
        <f t="shared" ref="F2252:K2252" si="1397">F2253</f>
        <v>0</v>
      </c>
      <c r="G2252" s="1">
        <f t="shared" si="1397"/>
        <v>7.4968909448309302E-8</v>
      </c>
      <c r="H2252" s="1">
        <f t="shared" si="1397"/>
        <v>5.0729901091762603E-8</v>
      </c>
      <c r="I2252" s="1">
        <f t="shared" si="1397"/>
        <v>1.03847842352676E-7</v>
      </c>
      <c r="J2252" s="1">
        <f t="shared" si="1397"/>
        <v>6.1394695356808103E-3</v>
      </c>
      <c r="K2252" s="1">
        <f t="shared" si="1397"/>
        <v>0</v>
      </c>
    </row>
    <row r="2253" spans="2:11" x14ac:dyDescent="0.35">
      <c r="B2253" s="5" t="str">
        <f t="shared" si="1385"/>
        <v>SPS1</v>
      </c>
      <c r="C2253" s="5" t="str">
        <f t="shared" si="1386"/>
        <v>CH</v>
      </c>
      <c r="D2253" t="s">
        <v>2393</v>
      </c>
      <c r="E2253" t="str">
        <f t="shared" si="1387"/>
        <v>GWth/yr.</v>
      </c>
      <c r="F2253" s="1" cm="1">
        <f t="array" ref="F2253">SUMPRODUCT(([1]OUT_FinalEnergyCons!$B$4:$B$10000="var_ncap")*1, (ISNUMBER(SEARCH("RH*-WHLFOBR",[1]OUT_FinalEnergyCons!$A$4:$A$10000)))*1,[1]OUT_FinalEnergyCons!D$4:D$10000)</f>
        <v>0</v>
      </c>
      <c r="G2253" s="1" cm="1">
        <f t="array" ref="G2253">SUMPRODUCT(([1]OUT_FinalEnergyCons!$B$4:$B$10000="var_ncap")*1, (ISNUMBER(SEARCH("RH*-WHLFOBR",[1]OUT_FinalEnergyCons!$A$4:$A$10000)))*1,[1]OUT_FinalEnergyCons!E$4:E$10000)</f>
        <v>7.4968909448309302E-8</v>
      </c>
      <c r="H2253" s="1" cm="1">
        <f t="array" ref="H2253">SUMPRODUCT(([1]OUT_FinalEnergyCons!$B$4:$B$10000="var_ncap")*1, (ISNUMBER(SEARCH("RH*-WHLFOBR",[1]OUT_FinalEnergyCons!$A$4:$A$10000)))*1,[1]OUT_FinalEnergyCons!F$4:F$10000)</f>
        <v>5.0729901091762603E-8</v>
      </c>
      <c r="I2253" s="1" cm="1">
        <f t="array" ref="I2253">SUMPRODUCT(([1]OUT_FinalEnergyCons!$B$4:$B$10000="var_ncap")*1, (ISNUMBER(SEARCH("RH*-WHLFOBR",[1]OUT_FinalEnergyCons!$A$4:$A$10000)))*1,[1]OUT_FinalEnergyCons!G$4:G$10000)</f>
        <v>1.03847842352676E-7</v>
      </c>
      <c r="J2253" s="1" cm="1">
        <f t="array" ref="J2253">SUMPRODUCT(([1]OUT_FinalEnergyCons!$B$4:$B$10000="var_ncap")*1, (ISNUMBER(SEARCH("RH*-WHLFOBR",[1]OUT_FinalEnergyCons!$A$4:$A$10000)))*1,[1]OUT_FinalEnergyCons!H$4:H$10000)</f>
        <v>6.1394695356808103E-3</v>
      </c>
      <c r="K2253" s="1" cm="1">
        <f t="array" ref="K2253">SUMPRODUCT(([1]OUT_FinalEnergyCons!$B$4:$B$10000="var_ncap")*1, (ISNUMBER(SEARCH("RH*-WHLFOBR",[1]OUT_FinalEnergyCons!$A$4:$A$10000)))*1,[1]OUT_FinalEnergyCons!I$4:I$10000)</f>
        <v>0</v>
      </c>
    </row>
    <row r="2254" spans="2:11" x14ac:dyDescent="0.35">
      <c r="B2254" s="5" t="str">
        <f t="shared" si="1385"/>
        <v>SPS1</v>
      </c>
      <c r="C2254" s="5" t="str">
        <f t="shared" si="1386"/>
        <v>CH</v>
      </c>
      <c r="D2254" t="s">
        <v>2394</v>
      </c>
      <c r="E2254" t="str">
        <f t="shared" si="1387"/>
        <v>GWth/yr.</v>
      </c>
      <c r="F2254" s="1">
        <f t="shared" ref="F2254:K2254" si="1398">SUM(F2255:F2256)</f>
        <v>0</v>
      </c>
      <c r="G2254" s="1">
        <f t="shared" si="1398"/>
        <v>2.13966626562742E-7</v>
      </c>
      <c r="H2254" s="1">
        <f t="shared" si="1398"/>
        <v>5.885548178892943E-2</v>
      </c>
      <c r="I2254" s="1">
        <f t="shared" si="1398"/>
        <v>6.0849652425237884E-2</v>
      </c>
      <c r="J2254" s="1">
        <f t="shared" si="1398"/>
        <v>0.15636485438062492</v>
      </c>
      <c r="K2254" s="1">
        <f t="shared" si="1398"/>
        <v>0.15613101079479996</v>
      </c>
    </row>
    <row r="2255" spans="2:11" x14ac:dyDescent="0.35">
      <c r="B2255" s="5" t="str">
        <f t="shared" si="1385"/>
        <v>SPS1</v>
      </c>
      <c r="C2255" s="5" t="str">
        <f t="shared" si="1386"/>
        <v>CH</v>
      </c>
      <c r="D2255" t="s">
        <v>2395</v>
      </c>
      <c r="E2255" t="str">
        <f t="shared" si="1387"/>
        <v>GWth/yr.</v>
      </c>
      <c r="F2255" s="1" cm="1">
        <f t="array" ref="F2255">SUMPRODUCT(([1]OUT_FinalEnergyCons!$B$4:$B$10000="var_ncap")*1, (ISNUMBER(SEARCH("RH*-WHNGABR",[1]OUT_FinalEnergyCons!$A$4:$A$10000)))*1,[1]OUT_FinalEnergyCons!D$4:D$10000)</f>
        <v>0</v>
      </c>
      <c r="G2255" s="1" cm="1">
        <f t="array" ref="G2255">SUMPRODUCT(([1]OUT_FinalEnergyCons!$B$4:$B$10000="var_ncap")*1, (ISNUMBER(SEARCH("RH*-WHNGABR",[1]OUT_FinalEnergyCons!$A$4:$A$10000)))*1,[1]OUT_FinalEnergyCons!E$4:E$10000)</f>
        <v>1.00416089572295E-7</v>
      </c>
      <c r="H2255" s="1" cm="1">
        <f t="array" ref="H2255">SUMPRODUCT(([1]OUT_FinalEnergyCons!$B$4:$B$10000="var_ncap")*1, (ISNUMBER(SEARCH("RH*-WHNGABR",[1]OUT_FinalEnergyCons!$A$4:$A$10000)))*1,[1]OUT_FinalEnergyCons!F$4:F$10000)</f>
        <v>9.4721198532603605E-8</v>
      </c>
      <c r="I2255" s="1" cm="1">
        <f t="array" ref="I2255">SUMPRODUCT(([1]OUT_FinalEnergyCons!$B$4:$B$10000="var_ncap")*1, (ISNUMBER(SEARCH("RH*-WHNGABR",[1]OUT_FinalEnergyCons!$A$4:$A$10000)))*1,[1]OUT_FinalEnergyCons!G$4:G$10000)</f>
        <v>1.49207983984644E-7</v>
      </c>
      <c r="J2255" s="1" cm="1">
        <f t="array" ref="J2255">SUMPRODUCT(([1]OUT_FinalEnergyCons!$B$4:$B$10000="var_ncap")*1, (ISNUMBER(SEARCH("RH*-WHNGABR",[1]OUT_FinalEnergyCons!$A$4:$A$10000)))*1,[1]OUT_FinalEnergyCons!H$4:H$10000)</f>
        <v>2.4670204124152901E-2</v>
      </c>
      <c r="K2255" s="1" cm="1">
        <f t="array" ref="K2255">SUMPRODUCT(([1]OUT_FinalEnergyCons!$B$4:$B$10000="var_ncap")*1, (ISNUMBER(SEARCH("RH*-WHNGABR",[1]OUT_FinalEnergyCons!$A$4:$A$10000)))*1,[1]OUT_FinalEnergyCons!I$4:I$10000)</f>
        <v>1.1714202595591401E-7</v>
      </c>
    </row>
    <row r="2256" spans="2:11" x14ac:dyDescent="0.35">
      <c r="B2256" s="5" t="str">
        <f t="shared" si="1385"/>
        <v>SPS1</v>
      </c>
      <c r="C2256" s="5" t="str">
        <f t="shared" si="1386"/>
        <v>CH</v>
      </c>
      <c r="D2256" t="s">
        <v>2396</v>
      </c>
      <c r="E2256" t="str">
        <f t="shared" si="1387"/>
        <v>GWth/yr.</v>
      </c>
      <c r="F2256" s="1" cm="1">
        <f t="array" ref="F2256">SUMPRODUCT(([1]OUT_FinalEnergyCons!$B$4:$B$10000="var_ncap")*1,ISNUMBER(SEARCH("RH*-WHngahp",[1]OUT_FinalEnergyCons!$A$4:$A$10000))*1,[1]OUT_FinalEnergyCons!D$4:D$10000)</f>
        <v>0</v>
      </c>
      <c r="G2256" s="1" cm="1">
        <f t="array" ref="G2256">SUMPRODUCT(([1]OUT_FinalEnergyCons!$B$4:$B$10000="var_ncap")*1,ISNUMBER(SEARCH("RH*-WHngahp",[1]OUT_FinalEnergyCons!$A$4:$A$10000))*1,[1]OUT_FinalEnergyCons!E$4:E$10000)</f>
        <v>1.13550536990447E-7</v>
      </c>
      <c r="H2256" s="1" cm="1">
        <f t="array" ref="H2256">SUMPRODUCT(([1]OUT_FinalEnergyCons!$B$4:$B$10000="var_ncap")*1,ISNUMBER(SEARCH("RH*-WHngahp",[1]OUT_FinalEnergyCons!$A$4:$A$10000))*1,[1]OUT_FinalEnergyCons!F$4:F$10000)</f>
        <v>5.8855387067730899E-2</v>
      </c>
      <c r="I2256" s="1" cm="1">
        <f t="array" ref="I2256">SUMPRODUCT(([1]OUT_FinalEnergyCons!$B$4:$B$10000="var_ncap")*1,ISNUMBER(SEARCH("RH*-WHngahp",[1]OUT_FinalEnergyCons!$A$4:$A$10000))*1,[1]OUT_FinalEnergyCons!G$4:G$10000)</f>
        <v>6.0849503217253902E-2</v>
      </c>
      <c r="J2256" s="1" cm="1">
        <f t="array" ref="J2256">SUMPRODUCT(([1]OUT_FinalEnergyCons!$B$4:$B$10000="var_ncap")*1,ISNUMBER(SEARCH("RH*-WHngahp",[1]OUT_FinalEnergyCons!$A$4:$A$10000))*1,[1]OUT_FinalEnergyCons!H$4:H$10000)</f>
        <v>0.13169465025647201</v>
      </c>
      <c r="K2256" s="1" cm="1">
        <f t="array" ref="K2256">SUMPRODUCT(([1]OUT_FinalEnergyCons!$B$4:$B$10000="var_ncap")*1,ISNUMBER(SEARCH("RH*-WHngahp",[1]OUT_FinalEnergyCons!$A$4:$A$10000))*1,[1]OUT_FinalEnergyCons!I$4:I$10000)</f>
        <v>0.15613089365277399</v>
      </c>
    </row>
    <row r="2257" spans="2:11" x14ac:dyDescent="0.35">
      <c r="B2257" s="5" t="str">
        <f t="shared" si="1385"/>
        <v>SPS1</v>
      </c>
      <c r="C2257" s="5" t="str">
        <f t="shared" si="1386"/>
        <v>CH</v>
      </c>
      <c r="D2257" t="s">
        <v>2397</v>
      </c>
      <c r="E2257" t="str">
        <f t="shared" si="1387"/>
        <v>GWth/yr.</v>
      </c>
      <c r="F2257" s="1">
        <f t="shared" ref="F2257:K2257" si="1399">F2258</f>
        <v>0</v>
      </c>
      <c r="G2257" s="1">
        <f t="shared" si="1399"/>
        <v>0</v>
      </c>
      <c r="H2257" s="1">
        <f t="shared" si="1399"/>
        <v>0</v>
      </c>
      <c r="I2257" s="1">
        <f t="shared" si="1399"/>
        <v>0</v>
      </c>
      <c r="J2257" s="1">
        <f t="shared" si="1399"/>
        <v>0</v>
      </c>
      <c r="K2257" s="1">
        <f t="shared" si="1399"/>
        <v>0</v>
      </c>
    </row>
    <row r="2258" spans="2:11" x14ac:dyDescent="0.35">
      <c r="B2258" s="5" t="str">
        <f t="shared" si="1385"/>
        <v>SPS1</v>
      </c>
      <c r="C2258" s="5" t="str">
        <f t="shared" si="1386"/>
        <v>CH</v>
      </c>
      <c r="D2258" t="s">
        <v>2398</v>
      </c>
      <c r="E2258" t="str">
        <f t="shared" si="1387"/>
        <v>GWth/yr.</v>
      </c>
      <c r="F2258" s="1" cm="1">
        <f t="array" ref="F2258">SUMPRODUCT(([1]OUT_FinalEnergyCons!$B$4:$B$10000="var_ncap")*1, (ISNUMBER(SEARCH("RH*-WHCOABR",[1]OUT_FinalEnergyCons!$A$4:$A$10000)))*1,[1]OUT_FinalEnergyCons!D$4:D$10000)</f>
        <v>0</v>
      </c>
      <c r="G2258" s="1" cm="1">
        <f t="array" ref="G2258">SUMPRODUCT(([1]OUT_FinalEnergyCons!$B$4:$B$10000="var_ncap")*1, (ISNUMBER(SEARCH("RH*-WHCOABR",[1]OUT_FinalEnergyCons!$A$4:$A$10000)))*1,[1]OUT_FinalEnergyCons!E$4:E$10000)</f>
        <v>0</v>
      </c>
      <c r="H2258" s="1" cm="1">
        <f t="array" ref="H2258">SUMPRODUCT(([1]OUT_FinalEnergyCons!$B$4:$B$10000="var_ncap")*1, (ISNUMBER(SEARCH("RH*-WHCOABR",[1]OUT_FinalEnergyCons!$A$4:$A$10000)))*1,[1]OUT_FinalEnergyCons!F$4:F$10000)</f>
        <v>0</v>
      </c>
      <c r="I2258" s="1" cm="1">
        <f t="array" ref="I2258">SUMPRODUCT(([1]OUT_FinalEnergyCons!$B$4:$B$10000="var_ncap")*1, (ISNUMBER(SEARCH("RH*-WHCOABR",[1]OUT_FinalEnergyCons!$A$4:$A$10000)))*1,[1]OUT_FinalEnergyCons!G$4:G$10000)</f>
        <v>0</v>
      </c>
      <c r="J2258" s="1" cm="1">
        <f t="array" ref="J2258">SUMPRODUCT(([1]OUT_FinalEnergyCons!$B$4:$B$10000="var_ncap")*1, (ISNUMBER(SEARCH("RH*-WHCOABR",[1]OUT_FinalEnergyCons!$A$4:$A$10000)))*1,[1]OUT_FinalEnergyCons!H$4:H$10000)</f>
        <v>0</v>
      </c>
      <c r="K2258" s="1" cm="1">
        <f t="array" ref="K2258">SUMPRODUCT(([1]OUT_FinalEnergyCons!$B$4:$B$10000="var_ncap")*1, (ISNUMBER(SEARCH("RH*-WHCOABR",[1]OUT_FinalEnergyCons!$A$4:$A$10000)))*1,[1]OUT_FinalEnergyCons!I$4:I$10000)</f>
        <v>0</v>
      </c>
    </row>
    <row r="2259" spans="2:11" x14ac:dyDescent="0.35">
      <c r="B2259" s="5" t="str">
        <f t="shared" si="1385"/>
        <v>SPS1</v>
      </c>
      <c r="C2259" s="5" t="str">
        <f t="shared" si="1386"/>
        <v>CH</v>
      </c>
      <c r="D2259" t="s">
        <v>2399</v>
      </c>
      <c r="E2259" t="str">
        <f t="shared" si="1387"/>
        <v>GWth/yr.</v>
      </c>
      <c r="F2259" s="1">
        <f t="shared" ref="F2259:K2259" si="1400">F2260</f>
        <v>0</v>
      </c>
      <c r="G2259" s="1">
        <f t="shared" si="1400"/>
        <v>5.3509248639763496E-3</v>
      </c>
      <c r="H2259" s="1">
        <f t="shared" si="1400"/>
        <v>4.5218572654071497E-2</v>
      </c>
      <c r="I2259" s="1">
        <f t="shared" si="1400"/>
        <v>2.9204408142965601E-3</v>
      </c>
      <c r="J2259" s="1">
        <f t="shared" si="1400"/>
        <v>5.1575732360586303E-2</v>
      </c>
      <c r="K2259" s="1">
        <f t="shared" si="1400"/>
        <v>1.8781670464964699E-2</v>
      </c>
    </row>
    <row r="2260" spans="2:11" x14ac:dyDescent="0.35">
      <c r="B2260" s="5" t="str">
        <f t="shared" si="1385"/>
        <v>SPS1</v>
      </c>
      <c r="C2260" s="5" t="str">
        <f t="shared" si="1386"/>
        <v>CH</v>
      </c>
      <c r="D2260" t="s">
        <v>2400</v>
      </c>
      <c r="E2260" t="str">
        <f t="shared" si="1387"/>
        <v>GWth/yr.</v>
      </c>
      <c r="F2260" s="1" cm="1">
        <f t="array" ref="F2260">SUMPRODUCT(([1]OUT_FinalEnergyCons!$B$4:$B$10000="var_ncap")*1, (ISNUMBER(SEARCH("RH*-WHWODBR",[1]OUT_FinalEnergyCons!$A$4:$A$10000)))*1,[1]OUT_FinalEnergyCons!D$4:D$10000)</f>
        <v>0</v>
      </c>
      <c r="G2260" s="1" cm="1">
        <f t="array" ref="G2260">SUMPRODUCT(([1]OUT_FinalEnergyCons!$B$4:$B$10000="var_ncap")*1, (ISNUMBER(SEARCH("RH*-WHWODBR",[1]OUT_FinalEnergyCons!$A$4:$A$10000)))*1,[1]OUT_FinalEnergyCons!E$4:E$10000)</f>
        <v>5.3509248639763496E-3</v>
      </c>
      <c r="H2260" s="1" cm="1">
        <f t="array" ref="H2260">SUMPRODUCT(([1]OUT_FinalEnergyCons!$B$4:$B$10000="var_ncap")*1, (ISNUMBER(SEARCH("RH*-WHWODBR",[1]OUT_FinalEnergyCons!$A$4:$A$10000)))*1,[1]OUT_FinalEnergyCons!F$4:F$10000)</f>
        <v>4.5218572654071497E-2</v>
      </c>
      <c r="I2260" s="1" cm="1">
        <f t="array" ref="I2260">SUMPRODUCT(([1]OUT_FinalEnergyCons!$B$4:$B$10000="var_ncap")*1, (ISNUMBER(SEARCH("RH*-WHWODBR",[1]OUT_FinalEnergyCons!$A$4:$A$10000)))*1,[1]OUT_FinalEnergyCons!G$4:G$10000)</f>
        <v>2.9204408142965601E-3</v>
      </c>
      <c r="J2260" s="1" cm="1">
        <f t="array" ref="J2260">SUMPRODUCT(([1]OUT_FinalEnergyCons!$B$4:$B$10000="var_ncap")*1, (ISNUMBER(SEARCH("RH*-WHWODBR",[1]OUT_FinalEnergyCons!$A$4:$A$10000)))*1,[1]OUT_FinalEnergyCons!H$4:H$10000)</f>
        <v>5.1575732360586303E-2</v>
      </c>
      <c r="K2260" s="1" cm="1">
        <f t="array" ref="K2260">SUMPRODUCT(([1]OUT_FinalEnergyCons!$B$4:$B$10000="var_ncap")*1, (ISNUMBER(SEARCH("RH*-WHWODBR",[1]OUT_FinalEnergyCons!$A$4:$A$10000)))*1,[1]OUT_FinalEnergyCons!I$4:I$10000)</f>
        <v>1.8781670464964699E-2</v>
      </c>
    </row>
    <row r="2261" spans="2:11" x14ac:dyDescent="0.35">
      <c r="B2261" s="5" t="str">
        <f t="shared" si="1385"/>
        <v>SPS1</v>
      </c>
      <c r="C2261" s="5" t="str">
        <f t="shared" si="1386"/>
        <v>CH</v>
      </c>
      <c r="D2261" t="s">
        <v>2401</v>
      </c>
      <c r="E2261" t="str">
        <f t="shared" si="1387"/>
        <v>GWth/yr.</v>
      </c>
      <c r="F2261" s="1">
        <f t="shared" ref="F2261:K2261" si="1401">F2262</f>
        <v>0</v>
      </c>
      <c r="G2261" s="1">
        <f t="shared" si="1401"/>
        <v>1.95126629030817E-3</v>
      </c>
      <c r="H2261" s="1">
        <f t="shared" si="1401"/>
        <v>5.8087304019071602E-8</v>
      </c>
      <c r="I2261" s="1">
        <f t="shared" si="1401"/>
        <v>4.5048853153335401E-7</v>
      </c>
      <c r="J2261" s="1">
        <f t="shared" si="1401"/>
        <v>5.6194681740576197E-3</v>
      </c>
      <c r="K2261" s="1">
        <f t="shared" si="1401"/>
        <v>6.21013663694481E-3</v>
      </c>
    </row>
    <row r="2262" spans="2:11" x14ac:dyDescent="0.35">
      <c r="B2262" s="5" t="str">
        <f t="shared" si="1385"/>
        <v>SPS1</v>
      </c>
      <c r="C2262" s="5" t="str">
        <f t="shared" si="1386"/>
        <v>CH</v>
      </c>
      <c r="D2262" t="s">
        <v>2402</v>
      </c>
      <c r="E2262" t="str">
        <f t="shared" si="1387"/>
        <v>GWth/yr.</v>
      </c>
      <c r="F2262" s="1" cm="1">
        <f t="array" ref="F2262">SUMPRODUCT(([1]OUT_FinalEnergyCons!$B$4:$B$10000="var_ncap")*1, (ISNUMBER(SEARCH("RH*-WHPLTBR",[1]OUT_FinalEnergyCons!$A$4:$A$10000)))*1,[1]OUT_FinalEnergyCons!D$4:D$10000)</f>
        <v>0</v>
      </c>
      <c r="G2262" s="1" cm="1">
        <f t="array" ref="G2262">SUMPRODUCT(([1]OUT_FinalEnergyCons!$B$4:$B$10000="var_ncap")*1, (ISNUMBER(SEARCH("RH*-WHPLTBR",[1]OUT_FinalEnergyCons!$A$4:$A$10000)))*1,[1]OUT_FinalEnergyCons!E$4:E$10000)</f>
        <v>1.95126629030817E-3</v>
      </c>
      <c r="H2262" s="1" cm="1">
        <f t="array" ref="H2262">SUMPRODUCT(([1]OUT_FinalEnergyCons!$B$4:$B$10000="var_ncap")*1, (ISNUMBER(SEARCH("RH*-WHPLTBR",[1]OUT_FinalEnergyCons!$A$4:$A$10000)))*1,[1]OUT_FinalEnergyCons!F$4:F$10000)</f>
        <v>5.8087304019071602E-8</v>
      </c>
      <c r="I2262" s="1" cm="1">
        <f t="array" ref="I2262">SUMPRODUCT(([1]OUT_FinalEnergyCons!$B$4:$B$10000="var_ncap")*1, (ISNUMBER(SEARCH("RH*-WHPLTBR",[1]OUT_FinalEnergyCons!$A$4:$A$10000)))*1,[1]OUT_FinalEnergyCons!G$4:G$10000)</f>
        <v>4.5048853153335401E-7</v>
      </c>
      <c r="J2262" s="1" cm="1">
        <f t="array" ref="J2262">SUMPRODUCT(([1]OUT_FinalEnergyCons!$B$4:$B$10000="var_ncap")*1, (ISNUMBER(SEARCH("RH*-WHPLTBR",[1]OUT_FinalEnergyCons!$A$4:$A$10000)))*1,[1]OUT_FinalEnergyCons!H$4:H$10000)</f>
        <v>5.6194681740576197E-3</v>
      </c>
      <c r="K2262" s="1" cm="1">
        <f t="array" ref="K2262">SUMPRODUCT(([1]OUT_FinalEnergyCons!$B$4:$B$10000="var_ncap")*1, (ISNUMBER(SEARCH("RH*-WHPLTBR",[1]OUT_FinalEnergyCons!$A$4:$A$10000)))*1,[1]OUT_FinalEnergyCons!I$4:I$10000)</f>
        <v>6.21013663694481E-3</v>
      </c>
    </row>
    <row r="2263" spans="2:11" x14ac:dyDescent="0.35">
      <c r="B2263" s="5" t="str">
        <f t="shared" ref="B2263:B2289" si="1402">B2262</f>
        <v>SPS1</v>
      </c>
      <c r="C2263" s="5" t="str">
        <f t="shared" ref="C2263:C2289" si="1403">C2262</f>
        <v>CH</v>
      </c>
      <c r="D2263" t="s">
        <v>2403</v>
      </c>
      <c r="E2263" t="str">
        <f t="shared" ref="E2263:E2294" si="1404">E2262</f>
        <v>GWth/yr.</v>
      </c>
      <c r="F2263" s="1">
        <f t="shared" ref="F2263:K2263" si="1405">F2264</f>
        <v>0</v>
      </c>
      <c r="G2263" s="1">
        <f t="shared" si="1405"/>
        <v>8.2502154653493601E-2</v>
      </c>
      <c r="H2263" s="1">
        <f t="shared" si="1405"/>
        <v>2.64031428881772E-7</v>
      </c>
      <c r="I2263" s="1">
        <f t="shared" si="1405"/>
        <v>7.3553353516839701E-7</v>
      </c>
      <c r="J2263" s="1">
        <f t="shared" si="1405"/>
        <v>0.219223057767782</v>
      </c>
      <c r="K2263" s="1">
        <f t="shared" si="1405"/>
        <v>0.25660450377188498</v>
      </c>
    </row>
    <row r="2264" spans="2:11" x14ac:dyDescent="0.35">
      <c r="B2264" s="5" t="str">
        <f t="shared" si="1402"/>
        <v>SPS1</v>
      </c>
      <c r="C2264" s="5" t="str">
        <f t="shared" si="1403"/>
        <v>CH</v>
      </c>
      <c r="D2264" t="s">
        <v>2404</v>
      </c>
      <c r="E2264" t="str">
        <f t="shared" si="1404"/>
        <v>GWth/yr.</v>
      </c>
      <c r="F2264" s="1" cm="1">
        <f t="array" ref="F2264">SUMPRODUCT(([1]OUT_FinalEnergyCons!$B$4:$B$10000="var_ncap")*1, (ISNUMBER(SEARCH("RH*-WHSOLBR",[1]OUT_FinalEnergyCons!$A$4:$A$10000)))*1,[1]OUT_FinalEnergyCons!D$4:D$10000)</f>
        <v>0</v>
      </c>
      <c r="G2264" s="1" cm="1">
        <f t="array" ref="G2264">SUMPRODUCT(([1]OUT_FinalEnergyCons!$B$4:$B$10000="var_ncap")*1, (ISNUMBER(SEARCH("RH*-WHSOLBR",[1]OUT_FinalEnergyCons!$A$4:$A$10000)))*1,[1]OUT_FinalEnergyCons!E$4:E$10000)</f>
        <v>8.2502154653493601E-2</v>
      </c>
      <c r="H2264" s="1" cm="1">
        <f t="array" ref="H2264">SUMPRODUCT(([1]OUT_FinalEnergyCons!$B$4:$B$10000="var_ncap")*1, (ISNUMBER(SEARCH("RH*-WHSOLBR",[1]OUT_FinalEnergyCons!$A$4:$A$10000)))*1,[1]OUT_FinalEnergyCons!F$4:F$10000)</f>
        <v>2.64031428881772E-7</v>
      </c>
      <c r="I2264" s="1" cm="1">
        <f t="array" ref="I2264">SUMPRODUCT(([1]OUT_FinalEnergyCons!$B$4:$B$10000="var_ncap")*1, (ISNUMBER(SEARCH("RH*-WHSOLBR",[1]OUT_FinalEnergyCons!$A$4:$A$10000)))*1,[1]OUT_FinalEnergyCons!G$4:G$10000)</f>
        <v>7.3553353516839701E-7</v>
      </c>
      <c r="J2264" s="1" cm="1">
        <f t="array" ref="J2264">SUMPRODUCT(([1]OUT_FinalEnergyCons!$B$4:$B$10000="var_ncap")*1, (ISNUMBER(SEARCH("RH*-WHSOLBR",[1]OUT_FinalEnergyCons!$A$4:$A$10000)))*1,[1]OUT_FinalEnergyCons!H$4:H$10000)</f>
        <v>0.219223057767782</v>
      </c>
      <c r="K2264" s="1" cm="1">
        <f t="array" ref="K2264">SUMPRODUCT(([1]OUT_FinalEnergyCons!$B$4:$B$10000="var_ncap")*1, (ISNUMBER(SEARCH("RH*-WHSOLBR",[1]OUT_FinalEnergyCons!$A$4:$A$10000)))*1,[1]OUT_FinalEnergyCons!I$4:I$10000)</f>
        <v>0.25660450377188498</v>
      </c>
    </row>
    <row r="2265" spans="2:11" x14ac:dyDescent="0.35">
      <c r="B2265" s="5" t="str">
        <f t="shared" si="1402"/>
        <v>SPS1</v>
      </c>
      <c r="C2265" s="5" t="str">
        <f t="shared" si="1403"/>
        <v>CH</v>
      </c>
      <c r="D2265" t="s">
        <v>2405</v>
      </c>
      <c r="E2265" t="str">
        <f t="shared" si="1404"/>
        <v>GWth/yr.</v>
      </c>
      <c r="F2265" s="1">
        <f t="shared" ref="F2265:K2265" si="1406">F2266</f>
        <v>0</v>
      </c>
      <c r="G2265" s="1">
        <f t="shared" si="1406"/>
        <v>0</v>
      </c>
      <c r="H2265" s="1">
        <f t="shared" si="1406"/>
        <v>0</v>
      </c>
      <c r="I2265" s="1">
        <f t="shared" si="1406"/>
        <v>0</v>
      </c>
      <c r="J2265" s="1">
        <f t="shared" si="1406"/>
        <v>0</v>
      </c>
      <c r="K2265" s="1">
        <f t="shared" si="1406"/>
        <v>0</v>
      </c>
    </row>
    <row r="2266" spans="2:11" x14ac:dyDescent="0.35">
      <c r="B2266" s="5" t="str">
        <f t="shared" si="1402"/>
        <v>SPS1</v>
      </c>
      <c r="C2266" s="5" t="str">
        <f t="shared" si="1403"/>
        <v>CH</v>
      </c>
      <c r="D2266" t="s">
        <v>2406</v>
      </c>
      <c r="E2266" t="str">
        <f t="shared" si="1404"/>
        <v>GWth/yr.</v>
      </c>
      <c r="F2266" s="1" cm="1">
        <f t="array" ref="F2266">SUMPRODUCT(([1]OUT_FinalEnergyCons!$B$4:$B$10000="var_ncap")*1, (ISNUMBER(SEARCH("RH*-WHH2BR",[1]OUT_FinalEnergyCons!$A$4:$A$10000)))*1,[1]OUT_FinalEnergyCons!D$4:D$10000)</f>
        <v>0</v>
      </c>
      <c r="G2266" s="1" cm="1">
        <f t="array" ref="G2266">SUMPRODUCT(([1]OUT_FinalEnergyCons!$B$4:$B$10000="var_ncap")*1, (ISNUMBER(SEARCH("RH*-WHH2BR",[1]OUT_FinalEnergyCons!$A$4:$A$10000)))*1,[1]OUT_FinalEnergyCons!E$4:E$10000)</f>
        <v>0</v>
      </c>
      <c r="H2266" s="1" cm="1">
        <f t="array" ref="H2266">SUMPRODUCT(([1]OUT_FinalEnergyCons!$B$4:$B$10000="var_ncap")*1, (ISNUMBER(SEARCH("RH*-WHH2BR",[1]OUT_FinalEnergyCons!$A$4:$A$10000)))*1,[1]OUT_FinalEnergyCons!F$4:F$10000)</f>
        <v>0</v>
      </c>
      <c r="I2266" s="1" cm="1">
        <f t="array" ref="I2266">SUMPRODUCT(([1]OUT_FinalEnergyCons!$B$4:$B$10000="var_ncap")*1, (ISNUMBER(SEARCH("RH*-WHH2BR",[1]OUT_FinalEnergyCons!$A$4:$A$10000)))*1,[1]OUT_FinalEnergyCons!G$4:G$10000)</f>
        <v>0</v>
      </c>
      <c r="J2266" s="1" cm="1">
        <f t="array" ref="J2266">SUMPRODUCT(([1]OUT_FinalEnergyCons!$B$4:$B$10000="var_ncap")*1, (ISNUMBER(SEARCH("RH*-WHH2BR",[1]OUT_FinalEnergyCons!$A$4:$A$10000)))*1,[1]OUT_FinalEnergyCons!H$4:H$10000)</f>
        <v>0</v>
      </c>
      <c r="K2266" s="1" cm="1">
        <f t="array" ref="K2266">SUMPRODUCT(([1]OUT_FinalEnergyCons!$B$4:$B$10000="var_ncap")*1, (ISNUMBER(SEARCH("RH*-WHH2BR",[1]OUT_FinalEnergyCons!$A$4:$A$10000)))*1,[1]OUT_FinalEnergyCons!I$4:I$10000)</f>
        <v>0</v>
      </c>
    </row>
    <row r="2267" spans="2:11" x14ac:dyDescent="0.35">
      <c r="B2267" s="9" t="str">
        <f t="shared" si="1402"/>
        <v>SPS1</v>
      </c>
      <c r="C2267" s="9" t="str">
        <f t="shared" si="1403"/>
        <v>CH</v>
      </c>
      <c r="D2267" s="2" t="s">
        <v>2407</v>
      </c>
      <c r="E2267" s="9" t="str">
        <f t="shared" si="1404"/>
        <v>GWth/yr.</v>
      </c>
      <c r="F2267" s="17">
        <f t="shared" ref="F2267:K2267" si="1407">SUM(F2268,F2271,F2274,F2278,F2280,F2282,F2284,F2286,F2288)</f>
        <v>1.31486600673912E-4</v>
      </c>
      <c r="G2267" s="17">
        <f t="shared" si="1407"/>
        <v>0.26677668717266639</v>
      </c>
      <c r="H2267" s="17">
        <f t="shared" si="1407"/>
        <v>0.14225782295228925</v>
      </c>
      <c r="I2267" s="17">
        <f t="shared" si="1407"/>
        <v>0.23720300307865311</v>
      </c>
      <c r="J2267" s="17">
        <f t="shared" si="1407"/>
        <v>1.3617007331975239</v>
      </c>
      <c r="K2267" s="17">
        <f t="shared" si="1407"/>
        <v>1.7040494931349581</v>
      </c>
    </row>
    <row r="2268" spans="2:11" x14ac:dyDescent="0.35">
      <c r="B2268" s="5" t="str">
        <f t="shared" si="1402"/>
        <v>SPS1</v>
      </c>
      <c r="C2268" s="5" t="str">
        <f t="shared" si="1403"/>
        <v>CH</v>
      </c>
      <c r="D2268" t="s">
        <v>2408</v>
      </c>
      <c r="E2268" t="str">
        <f t="shared" si="1404"/>
        <v>GWth/yr.</v>
      </c>
      <c r="F2268" s="18">
        <f t="shared" ref="F2268:K2268" si="1408">SUM(F2269:F2270)</f>
        <v>0</v>
      </c>
      <c r="G2268" s="18">
        <f t="shared" si="1408"/>
        <v>0.19633236649859381</v>
      </c>
      <c r="H2268" s="18">
        <f t="shared" si="1408"/>
        <v>1.545403782814034E-2</v>
      </c>
      <c r="I2268" s="18">
        <f t="shared" si="1408"/>
        <v>0.22764344680132237</v>
      </c>
      <c r="J2268" s="18">
        <f t="shared" si="1408"/>
        <v>0.62432221499928198</v>
      </c>
      <c r="K2268" s="18">
        <f t="shared" si="1408"/>
        <v>0.50619508391994295</v>
      </c>
    </row>
    <row r="2269" spans="2:11" x14ac:dyDescent="0.35">
      <c r="B2269" s="5" t="str">
        <f t="shared" si="1402"/>
        <v>SPS1</v>
      </c>
      <c r="C2269" s="5" t="str">
        <f t="shared" si="1403"/>
        <v>CH</v>
      </c>
      <c r="D2269" t="s">
        <v>2409</v>
      </c>
      <c r="E2269" t="str">
        <f t="shared" si="1404"/>
        <v>GWth/yr.</v>
      </c>
      <c r="F2269" s="1" cm="1">
        <f t="array" ref="F2269">SUMPRODUCT(([1]OUT_FinalEnergyCons!$B$4:$B$10000="var_ncap")*1,  (ISNUMBER(SEARCH("ITOT-SWHELCBR",[1]OUT_FinalEnergyCons!$A$4:$A$10000)))*1,[1]OUT_FinalEnergyCons!D$4:D$10000)</f>
        <v>0</v>
      </c>
      <c r="G2269" s="1" cm="1">
        <f t="array" ref="G2269">SUMPRODUCT(([1]OUT_FinalEnergyCons!$B$4:$B$10000="var_ncap")*1,  (ISNUMBER(SEARCH("ITOT-SWHELCBR",[1]OUT_FinalEnergyCons!$A$4:$A$10000)))*1,[1]OUT_FinalEnergyCons!E$4:E$10000)</f>
        <v>0.18033990734296501</v>
      </c>
      <c r="H2269" s="1" cm="1">
        <f t="array" ref="H2269">SUMPRODUCT(([1]OUT_FinalEnergyCons!$B$4:$B$10000="var_ncap")*1,  (ISNUMBER(SEARCH("ITOT-SWHELCBR",[1]OUT_FinalEnergyCons!$A$4:$A$10000)))*1,[1]OUT_FinalEnergyCons!F$4:F$10000)</f>
        <v>4.9764042395741201E-5</v>
      </c>
      <c r="I2269" s="1" cm="1">
        <f t="array" ref="I2269">SUMPRODUCT(([1]OUT_FinalEnergyCons!$B$4:$B$10000="var_ncap")*1,  (ISNUMBER(SEARCH("ITOT-SWHELCBR",[1]OUT_FinalEnergyCons!$A$4:$A$10000)))*1,[1]OUT_FinalEnergyCons!G$4:G$10000)</f>
        <v>3.3729401280303498E-3</v>
      </c>
      <c r="J2269" s="1" cm="1">
        <f t="array" ref="J2269">SUMPRODUCT(([1]OUT_FinalEnergyCons!$B$4:$B$10000="var_ncap")*1,  (ISNUMBER(SEARCH("ITOT-SWHELCBR",[1]OUT_FinalEnergyCons!$A$4:$A$10000)))*1,[1]OUT_FinalEnergyCons!H$4:H$10000)</f>
        <v>0.51276063922850401</v>
      </c>
      <c r="K2269" s="1" cm="1">
        <f t="array" ref="K2269">SUMPRODUCT(([1]OUT_FinalEnergyCons!$B$4:$B$10000="var_ncap")*1,  (ISNUMBER(SEARCH("ITOT-SWHELCBR",[1]OUT_FinalEnergyCons!$A$4:$A$10000)))*1,[1]OUT_FinalEnergyCons!I$4:I$10000)</f>
        <v>0.28812265696332001</v>
      </c>
    </row>
    <row r="2270" spans="2:11" x14ac:dyDescent="0.35">
      <c r="B2270" s="5" t="str">
        <f t="shared" si="1402"/>
        <v>SPS1</v>
      </c>
      <c r="C2270" s="5" t="str">
        <f t="shared" si="1403"/>
        <v>CH</v>
      </c>
      <c r="D2270" t="s">
        <v>2410</v>
      </c>
      <c r="E2270" t="str">
        <f t="shared" si="1404"/>
        <v>GWth/yr.</v>
      </c>
      <c r="F2270" s="1" cm="1">
        <f t="array" ref="F2270">SUMPRODUCT(([1]OUT_FinalEnergyCons!$B$4:$B$10000="var_ncap")*1,  (ISNUMBER(SEARCH("ITOT-SWHELCHP",[1]OUT_FinalEnergyCons!$A$4:$A$10000)))*1,[1]OUT_FinalEnergyCons!D$4:D$10000)</f>
        <v>0</v>
      </c>
      <c r="G2270" s="1" cm="1">
        <f t="array" ref="G2270">SUMPRODUCT(([1]OUT_FinalEnergyCons!$B$4:$B$10000="var_ncap")*1,  (ISNUMBER(SEARCH("ITOT-SWHELCHP",[1]OUT_FinalEnergyCons!$A$4:$A$10000)))*1,[1]OUT_FinalEnergyCons!E$4:E$10000)</f>
        <v>1.5992459155628799E-2</v>
      </c>
      <c r="H2270" s="1" cm="1">
        <f t="array" ref="H2270">SUMPRODUCT(([1]OUT_FinalEnergyCons!$B$4:$B$10000="var_ncap")*1,  (ISNUMBER(SEARCH("ITOT-SWHELCHP",[1]OUT_FinalEnergyCons!$A$4:$A$10000)))*1,[1]OUT_FinalEnergyCons!F$4:F$10000)</f>
        <v>1.5404273785744599E-2</v>
      </c>
      <c r="I2270" s="1" cm="1">
        <f t="array" ref="I2270">SUMPRODUCT(([1]OUT_FinalEnergyCons!$B$4:$B$10000="var_ncap")*1,  (ISNUMBER(SEARCH("ITOT-SWHELCHP",[1]OUT_FinalEnergyCons!$A$4:$A$10000)))*1,[1]OUT_FinalEnergyCons!G$4:G$10000)</f>
        <v>0.22427050667329201</v>
      </c>
      <c r="J2270" s="1" cm="1">
        <f t="array" ref="J2270">SUMPRODUCT(([1]OUT_FinalEnergyCons!$B$4:$B$10000="var_ncap")*1,  (ISNUMBER(SEARCH("ITOT-SWHELCHP",[1]OUT_FinalEnergyCons!$A$4:$A$10000)))*1,[1]OUT_FinalEnergyCons!H$4:H$10000)</f>
        <v>0.11156157577077799</v>
      </c>
      <c r="K2270" s="1" cm="1">
        <f t="array" ref="K2270">SUMPRODUCT(([1]OUT_FinalEnergyCons!$B$4:$B$10000="var_ncap")*1,  (ISNUMBER(SEARCH("ITOT-SWHELCHP",[1]OUT_FinalEnergyCons!$A$4:$A$10000)))*1,[1]OUT_FinalEnergyCons!I$4:I$10000)</f>
        <v>0.21807242695662299</v>
      </c>
    </row>
    <row r="2271" spans="2:11" x14ac:dyDescent="0.35">
      <c r="B2271" s="5" t="str">
        <f t="shared" si="1402"/>
        <v>SPS1</v>
      </c>
      <c r="C2271" s="5" t="str">
        <f t="shared" si="1403"/>
        <v>CH</v>
      </c>
      <c r="D2271" t="s">
        <v>2411</v>
      </c>
      <c r="E2271" t="str">
        <f t="shared" si="1404"/>
        <v>GWth/yr.</v>
      </c>
      <c r="F2271" s="18">
        <f t="shared" ref="F2271:K2271" si="1409">SUM(F2272:F2273)</f>
        <v>1.31486600673912E-4</v>
      </c>
      <c r="G2271" s="18">
        <f t="shared" si="1409"/>
        <v>6.986954562064716E-3</v>
      </c>
      <c r="H2271" s="18">
        <f t="shared" si="1409"/>
        <v>8.89267249770469E-6</v>
      </c>
      <c r="I2271" s="18">
        <f t="shared" si="1409"/>
        <v>1.6032308229957459E-5</v>
      </c>
      <c r="J2271" s="18">
        <f t="shared" si="1409"/>
        <v>2.3299859735392565E-2</v>
      </c>
      <c r="K2271" s="18">
        <f t="shared" si="1409"/>
        <v>4.3191462315853705E-6</v>
      </c>
    </row>
    <row r="2272" spans="2:11" x14ac:dyDescent="0.35">
      <c r="B2272" s="5" t="str">
        <f t="shared" si="1402"/>
        <v>SPS1</v>
      </c>
      <c r="C2272" s="5" t="str">
        <f t="shared" si="1403"/>
        <v>CH</v>
      </c>
      <c r="D2272" t="s">
        <v>2412</v>
      </c>
      <c r="E2272" t="str">
        <f t="shared" si="1404"/>
        <v>GWth/yr.</v>
      </c>
      <c r="F2272" s="1" cm="1">
        <f t="array" ref="F2272">SUMPRODUCT(([1]OUT_FinalEnergyCons!$B$4:$B$10000="var_ncap")*1,  (ISNUMBER(SEARCH("ITOT-SWHLFOBR",[1]OUT_FinalEnergyCons!$A$4:$A$10000)))*1,[1]OUT_FinalEnergyCons!D$4:D$10000)</f>
        <v>0</v>
      </c>
      <c r="G2272" s="1" cm="1">
        <f t="array" ref="G2272">SUMPRODUCT(([1]OUT_FinalEnergyCons!$B$4:$B$10000="var_ncap")*1,  (ISNUMBER(SEARCH("ITOT-SWHLFOBR",[1]OUT_FinalEnergyCons!$A$4:$A$10000)))*1,[1]OUT_FinalEnergyCons!E$4:E$10000)</f>
        <v>6.9818944583646299E-3</v>
      </c>
      <c r="H2272" s="1" cm="1">
        <f t="array" ref="H2272">SUMPRODUCT(([1]OUT_FinalEnergyCons!$B$4:$B$10000="var_ncap")*1,  (ISNUMBER(SEARCH("ITOT-SWHLFOBR",[1]OUT_FinalEnergyCons!$A$4:$A$10000)))*1,[1]OUT_FinalEnergyCons!F$4:F$10000)</f>
        <v>4.4987178277863102E-6</v>
      </c>
      <c r="I2272" s="1" cm="1">
        <f t="array" ref="I2272">SUMPRODUCT(([1]OUT_FinalEnergyCons!$B$4:$B$10000="var_ncap")*1,  (ISNUMBER(SEARCH("ITOT-SWHLFOBR",[1]OUT_FinalEnergyCons!$A$4:$A$10000)))*1,[1]OUT_FinalEnergyCons!G$4:G$10000)</f>
        <v>9.0241407906297399E-6</v>
      </c>
      <c r="J2272" s="1" cm="1">
        <f t="array" ref="J2272">SUMPRODUCT(([1]OUT_FinalEnergyCons!$B$4:$B$10000="var_ncap")*1,  (ISNUMBER(SEARCH("ITOT-SWHLFOBR",[1]OUT_FinalEnergyCons!$A$4:$A$10000)))*1,[1]OUT_FinalEnergyCons!H$4:H$10000)</f>
        <v>2.32678354697393E-2</v>
      </c>
      <c r="K2272" s="1" cm="1">
        <f t="array" ref="K2272">SUMPRODUCT(([1]OUT_FinalEnergyCons!$B$4:$B$10000="var_ncap")*1,  (ISNUMBER(SEARCH("ITOT-SWHLFOBR",[1]OUT_FinalEnergyCons!$A$4:$A$10000)))*1,[1]OUT_FinalEnergyCons!I$4:I$10000)</f>
        <v>3.1661828359214401E-6</v>
      </c>
    </row>
    <row r="2273" spans="2:11" x14ac:dyDescent="0.35">
      <c r="B2273" s="5" t="str">
        <f t="shared" si="1402"/>
        <v>SPS1</v>
      </c>
      <c r="C2273" s="5" t="str">
        <f t="shared" si="1403"/>
        <v>CH</v>
      </c>
      <c r="D2273" t="s">
        <v>2413</v>
      </c>
      <c r="E2273" t="str">
        <f t="shared" si="1404"/>
        <v>GWth/yr.</v>
      </c>
      <c r="F2273" s="1" cm="1">
        <f t="array" ref="F2273">SUMPRODUCT(([1]OUT_FinalEnergyCons!$B$4:$B$10000="var_ncap")*1,  (ISNUMBER(SEARCH("ITOT-SWHHFOBR",[1]OUT_FinalEnergyCons!$A$4:$A$10000)))*1,[1]OUT_FinalEnergyCons!D$4:D$10000)</f>
        <v>1.31486600673912E-4</v>
      </c>
      <c r="G2273" s="1" cm="1">
        <f t="array" ref="G2273">SUMPRODUCT(([1]OUT_FinalEnergyCons!$B$4:$B$10000="var_ncap")*1,  (ISNUMBER(SEARCH("ITOT-SWHHFOBR",[1]OUT_FinalEnergyCons!$A$4:$A$10000)))*1,[1]OUT_FinalEnergyCons!E$4:E$10000)</f>
        <v>5.0601037000861597E-6</v>
      </c>
      <c r="H2273" s="1" cm="1">
        <f t="array" ref="H2273">SUMPRODUCT(([1]OUT_FinalEnergyCons!$B$4:$B$10000="var_ncap")*1,  (ISNUMBER(SEARCH("ITOT-SWHHFOBR",[1]OUT_FinalEnergyCons!$A$4:$A$10000)))*1,[1]OUT_FinalEnergyCons!F$4:F$10000)</f>
        <v>4.3939546699183798E-6</v>
      </c>
      <c r="I2273" s="1" cm="1">
        <f t="array" ref="I2273">SUMPRODUCT(([1]OUT_FinalEnergyCons!$B$4:$B$10000="var_ncap")*1,  (ISNUMBER(SEARCH("ITOT-SWHHFOBR",[1]OUT_FinalEnergyCons!$A$4:$A$10000)))*1,[1]OUT_FinalEnergyCons!G$4:G$10000)</f>
        <v>7.0081674393277198E-6</v>
      </c>
      <c r="J2273" s="1" cm="1">
        <f t="array" ref="J2273">SUMPRODUCT(([1]OUT_FinalEnergyCons!$B$4:$B$10000="var_ncap")*1,  (ISNUMBER(SEARCH("ITOT-SWHHFOBR",[1]OUT_FinalEnergyCons!$A$4:$A$10000)))*1,[1]OUT_FinalEnergyCons!H$4:H$10000)</f>
        <v>3.20242656532645E-5</v>
      </c>
      <c r="K2273" s="1" cm="1">
        <f t="array" ref="K2273">SUMPRODUCT(([1]OUT_FinalEnergyCons!$B$4:$B$10000="var_ncap")*1,  (ISNUMBER(SEARCH("ITOT-SWHHFOBR",[1]OUT_FinalEnergyCons!$A$4:$A$10000)))*1,[1]OUT_FinalEnergyCons!I$4:I$10000)</f>
        <v>1.1529633956639299E-6</v>
      </c>
    </row>
    <row r="2274" spans="2:11" x14ac:dyDescent="0.35">
      <c r="B2274" s="5" t="str">
        <f t="shared" si="1402"/>
        <v>SPS1</v>
      </c>
      <c r="C2274" s="5" t="str">
        <f t="shared" si="1403"/>
        <v>CH</v>
      </c>
      <c r="D2274" t="s">
        <v>2414</v>
      </c>
      <c r="E2274" t="str">
        <f t="shared" si="1404"/>
        <v>GWth/yr.</v>
      </c>
      <c r="F2274" s="18">
        <f t="shared" ref="F2274:K2274" si="1410">SUM(F2275:F2276)</f>
        <v>0</v>
      </c>
      <c r="G2274" s="18">
        <f t="shared" si="1410"/>
        <v>6.1049238901994768E-4</v>
      </c>
      <c r="H2274" s="18">
        <f t="shared" si="1410"/>
        <v>7.9751856571827603E-6</v>
      </c>
      <c r="I2274" s="18">
        <f t="shared" si="1410"/>
        <v>7.3067777027075993E-6</v>
      </c>
      <c r="J2274" s="18">
        <f t="shared" si="1410"/>
        <v>0.36652659748523603</v>
      </c>
      <c r="K2274" s="18">
        <f t="shared" si="1410"/>
        <v>2.3949568610837725E-4</v>
      </c>
    </row>
    <row r="2275" spans="2:11" x14ac:dyDescent="0.35">
      <c r="B2275" s="5" t="str">
        <f t="shared" si="1402"/>
        <v>SPS1</v>
      </c>
      <c r="C2275" s="5" t="str">
        <f t="shared" si="1403"/>
        <v>CH</v>
      </c>
      <c r="D2275" t="s">
        <v>2415</v>
      </c>
      <c r="E2275" t="str">
        <f t="shared" si="1404"/>
        <v>GWth/yr.</v>
      </c>
      <c r="F2275" s="1" cm="1">
        <f t="array" ref="F2275">SUMPRODUCT(([1]OUT_FinalEnergyCons!$B$4:$B$10000="var_ncap")*1,  (ISNUMBER(SEARCH("ITOT-SWHNGA*BR",[1]OUT_FinalEnergyCons!$A$4:$A$10000)))*1,[1]OUT_FinalEnergyCons!D$4:D$10000)</f>
        <v>0</v>
      </c>
      <c r="G2275" s="1" cm="1">
        <f t="array" ref="G2275">SUMPRODUCT(([1]OUT_FinalEnergyCons!$B$4:$B$10000="var_ncap")*1,  (ISNUMBER(SEARCH("ITOT-SWHNGA*BR",[1]OUT_FinalEnergyCons!$A$4:$A$10000)))*1,[1]OUT_FinalEnergyCons!E$4:E$10000)</f>
        <v>1.43389974336206E-5</v>
      </c>
      <c r="H2275" s="1" cm="1">
        <f t="array" ref="H2275">SUMPRODUCT(([1]OUT_FinalEnergyCons!$B$4:$B$10000="var_ncap")*1,  (ISNUMBER(SEARCH("ITOT-SWHNGA*BR",[1]OUT_FinalEnergyCons!$A$4:$A$10000)))*1,[1]OUT_FinalEnergyCons!F$4:F$10000)</f>
        <v>6.7129022881715203E-6</v>
      </c>
      <c r="I2275" s="1" cm="1">
        <f t="array" ref="I2275">SUMPRODUCT(([1]OUT_FinalEnergyCons!$B$4:$B$10000="var_ncap")*1,  (ISNUMBER(SEARCH("ITOT-SWHNGA*BR",[1]OUT_FinalEnergyCons!$A$4:$A$10000)))*1,[1]OUT_FinalEnergyCons!G$4:G$10000)</f>
        <v>5.5792676688273997E-6</v>
      </c>
      <c r="J2275" s="1" cm="1">
        <f t="array" ref="J2275">SUMPRODUCT(([1]OUT_FinalEnergyCons!$B$4:$B$10000="var_ncap")*1,  (ISNUMBER(SEARCH("ITOT-SWHNGA*BR",[1]OUT_FinalEnergyCons!$A$4:$A$10000)))*1,[1]OUT_FinalEnergyCons!H$4:H$10000)</f>
        <v>0.366232004849535</v>
      </c>
      <c r="K2275" s="1" cm="1">
        <f t="array" ref="K2275">SUMPRODUCT(([1]OUT_FinalEnergyCons!$B$4:$B$10000="var_ncap")*1,  (ISNUMBER(SEARCH("ITOT-SWHNGA*BR",[1]OUT_FinalEnergyCons!$A$4:$A$10000)))*1,[1]OUT_FinalEnergyCons!I$4:I$10000)</f>
        <v>3.1115979367592398E-6</v>
      </c>
    </row>
    <row r="2276" spans="2:11" x14ac:dyDescent="0.35">
      <c r="B2276" s="5" t="str">
        <f t="shared" si="1402"/>
        <v>SPS1</v>
      </c>
      <c r="C2276" s="5" t="str">
        <f t="shared" si="1403"/>
        <v>CH</v>
      </c>
      <c r="D2276" t="s">
        <v>2416</v>
      </c>
      <c r="E2276" t="str">
        <f t="shared" si="1404"/>
        <v>GWth/yr.</v>
      </c>
      <c r="F2276" s="1" cm="1">
        <f t="array" ref="F2276">SUMPRODUCT(([1]OUT_FinalEnergyCons!$B$4:$B$10000="var_ncap")*1,  (ISNUMBER(SEARCH("ITOT-SWHNGAHP",[1]OUT_FinalEnergyCons!$A$4:$A$10000)))*1,[1]OUT_FinalEnergyCons!D$4:D$10000)</f>
        <v>0</v>
      </c>
      <c r="G2276" s="1" cm="1">
        <f t="array" ref="G2276">SUMPRODUCT(([1]OUT_FinalEnergyCons!$B$4:$B$10000="var_ncap")*1,  (ISNUMBER(SEARCH("ITOT-SWHNGAHP",[1]OUT_FinalEnergyCons!$A$4:$A$10000)))*1,[1]OUT_FinalEnergyCons!E$4:E$10000)</f>
        <v>5.9615339158632704E-4</v>
      </c>
      <c r="H2276" s="1" cm="1">
        <f t="array" ref="H2276">SUMPRODUCT(([1]OUT_FinalEnergyCons!$B$4:$B$10000="var_ncap")*1,  (ISNUMBER(SEARCH("ITOT-SWHNGAHP",[1]OUT_FinalEnergyCons!$A$4:$A$10000)))*1,[1]OUT_FinalEnergyCons!F$4:F$10000)</f>
        <v>1.26228336901124E-6</v>
      </c>
      <c r="I2276" s="1" cm="1">
        <f t="array" ref="I2276">SUMPRODUCT(([1]OUT_FinalEnergyCons!$B$4:$B$10000="var_ncap")*1,  (ISNUMBER(SEARCH("ITOT-SWHNGAHP",[1]OUT_FinalEnergyCons!$A$4:$A$10000)))*1,[1]OUT_FinalEnergyCons!G$4:G$10000)</f>
        <v>1.7275100338802001E-6</v>
      </c>
      <c r="J2276" s="1" cm="1">
        <f t="array" ref="J2276">SUMPRODUCT(([1]OUT_FinalEnergyCons!$B$4:$B$10000="var_ncap")*1,  (ISNUMBER(SEARCH("ITOT-SWHNGAHP",[1]OUT_FinalEnergyCons!$A$4:$A$10000)))*1,[1]OUT_FinalEnergyCons!H$4:H$10000)</f>
        <v>2.9459263570100398E-4</v>
      </c>
      <c r="K2276" s="1" cm="1">
        <f t="array" ref="K2276">SUMPRODUCT(([1]OUT_FinalEnergyCons!$B$4:$B$10000="var_ncap")*1,  (ISNUMBER(SEARCH("ITOT-SWHNGAHP",[1]OUT_FinalEnergyCons!$A$4:$A$10000)))*1,[1]OUT_FinalEnergyCons!I$4:I$10000)</f>
        <v>2.36384088171618E-4</v>
      </c>
    </row>
    <row r="2277" spans="2:11" x14ac:dyDescent="0.35">
      <c r="B2277" s="5" t="str">
        <f t="shared" si="1402"/>
        <v>SPS1</v>
      </c>
      <c r="C2277" s="5" t="str">
        <f t="shared" si="1403"/>
        <v>CH</v>
      </c>
      <c r="D2277" t="s">
        <v>2417</v>
      </c>
      <c r="E2277" t="str">
        <f t="shared" si="1404"/>
        <v>GWth/yr.</v>
      </c>
      <c r="F2277" s="1" cm="1">
        <f t="array" ref="F2277">SUMPRODUCT(([1]OUT_FinalEnergyCons!$B$4:$B$10000="var_ncap")*1,  (("ITOT-SWHBIOBR"=[1]OUT_FinalEnergyCons!$A$4:$A$10000)*1+("ITOT-SWHBNGABR"=[1]OUT_FinalEnergyCons!$A$4:$A$10000))*1,[1]OUT_FinalEnergyCons!D$4:D$10000)</f>
        <v>0</v>
      </c>
      <c r="G2277" s="1" cm="1">
        <f t="array" ref="G2277">SUMPRODUCT(([1]OUT_FinalEnergyCons!$B$4:$B$10000="var_ncap")*1,  (("ITOT-SWHBIOBR"=[1]OUT_FinalEnergyCons!$A$4:$A$10000)*1+("ITOT-SWHBNGABR"=[1]OUT_FinalEnergyCons!$A$4:$A$10000))*1,[1]OUT_FinalEnergyCons!E$4:E$10000)</f>
        <v>1.69396030361426E-2</v>
      </c>
      <c r="H2277" s="1" cm="1">
        <f t="array" ref="H2277">SUMPRODUCT(([1]OUT_FinalEnergyCons!$B$4:$B$10000="var_ncap")*1,  (("ITOT-SWHBIOBR"=[1]OUT_FinalEnergyCons!$A$4:$A$10000)*1+("ITOT-SWHBNGABR"=[1]OUT_FinalEnergyCons!$A$4:$A$10000))*1,[1]OUT_FinalEnergyCons!F$4:F$10000)</f>
        <v>0.14559947671533199</v>
      </c>
      <c r="I2277" s="1" cm="1">
        <f t="array" ref="I2277">SUMPRODUCT(([1]OUT_FinalEnergyCons!$B$4:$B$10000="var_ncap")*1,  (("ITOT-SWHBIOBR"=[1]OUT_FinalEnergyCons!$A$4:$A$10000)*1+("ITOT-SWHBNGABR"=[1]OUT_FinalEnergyCons!$A$4:$A$10000))*1,[1]OUT_FinalEnergyCons!G$4:G$10000)</f>
        <v>0.15471939830393899</v>
      </c>
      <c r="J2277" s="1" cm="1">
        <f t="array" ref="J2277">SUMPRODUCT(([1]OUT_FinalEnergyCons!$B$4:$B$10000="var_ncap")*1,  (("ITOT-SWHBIOBR"=[1]OUT_FinalEnergyCons!$A$4:$A$10000)*1+("ITOT-SWHBNGABR"=[1]OUT_FinalEnergyCons!$A$4:$A$10000))*1,[1]OUT_FinalEnergyCons!H$4:H$10000)</f>
        <v>0.41812804944167797</v>
      </c>
      <c r="K2277" s="1" cm="1">
        <f t="array" ref="K2277">SUMPRODUCT(([1]OUT_FinalEnergyCons!$B$4:$B$10000="var_ncap")*1,  (("ITOT-SWHBIOBR"=[1]OUT_FinalEnergyCons!$A$4:$A$10000)*1+("ITOT-SWHBNGABR"=[1]OUT_FinalEnergyCons!$A$4:$A$10000))*1,[1]OUT_FinalEnergyCons!I$4:I$10000)</f>
        <v>0.149508020323908</v>
      </c>
    </row>
    <row r="2278" spans="2:11" x14ac:dyDescent="0.35">
      <c r="B2278" s="5" t="str">
        <f t="shared" si="1402"/>
        <v>SPS1</v>
      </c>
      <c r="C2278" s="5" t="str">
        <f t="shared" si="1403"/>
        <v>CH</v>
      </c>
      <c r="D2278" t="s">
        <v>2418</v>
      </c>
      <c r="E2278" t="str">
        <f t="shared" si="1404"/>
        <v>GWth/yr.</v>
      </c>
      <c r="F2278" s="1">
        <f t="shared" ref="F2278:K2278" si="1411">F2279</f>
        <v>0</v>
      </c>
      <c r="G2278" s="1">
        <f t="shared" si="1411"/>
        <v>2.0874128169265101E-6</v>
      </c>
      <c r="H2278" s="1">
        <f t="shared" si="1411"/>
        <v>1.52912837058031E-6</v>
      </c>
      <c r="I2278" s="1">
        <f t="shared" si="1411"/>
        <v>3.1377776063254001E-6</v>
      </c>
      <c r="J2278" s="1">
        <f t="shared" si="1411"/>
        <v>2.3743280433571099E-5</v>
      </c>
      <c r="K2278" s="1">
        <f t="shared" si="1411"/>
        <v>1.59308723175577E-6</v>
      </c>
    </row>
    <row r="2279" spans="2:11" x14ac:dyDescent="0.35">
      <c r="B2279" s="5" t="str">
        <f t="shared" si="1402"/>
        <v>SPS1</v>
      </c>
      <c r="C2279" s="5" t="str">
        <f t="shared" si="1403"/>
        <v>CH</v>
      </c>
      <c r="D2279" t="s">
        <v>2419</v>
      </c>
      <c r="E2279" t="str">
        <f t="shared" si="1404"/>
        <v>GWth/yr.</v>
      </c>
      <c r="F2279" s="1" cm="1">
        <f t="array" ref="F2279">SUMPRODUCT(([1]OUT_FinalEnergyCons!$B$4:$B$10000="var_ncap")*1,  (ISNUMBER(SEARCH("ITOT-SWHCOA*BR",[1]OUT_FinalEnergyCons!$A$4:$A$10000)))*1,[1]OUT_FinalEnergyCons!D$4:D$10000)</f>
        <v>0</v>
      </c>
      <c r="G2279" s="1" cm="1">
        <f t="array" ref="G2279">SUMPRODUCT(([1]OUT_FinalEnergyCons!$B$4:$B$10000="var_ncap")*1,  (ISNUMBER(SEARCH("ITOT-SWHCOA*BR",[1]OUT_FinalEnergyCons!$A$4:$A$10000)))*1,[1]OUT_FinalEnergyCons!E$4:E$10000)</f>
        <v>2.0874128169265101E-6</v>
      </c>
      <c r="H2279" s="1" cm="1">
        <f t="array" ref="H2279">SUMPRODUCT(([1]OUT_FinalEnergyCons!$B$4:$B$10000="var_ncap")*1,  (ISNUMBER(SEARCH("ITOT-SWHCOA*BR",[1]OUT_FinalEnergyCons!$A$4:$A$10000)))*1,[1]OUT_FinalEnergyCons!F$4:F$10000)</f>
        <v>1.52912837058031E-6</v>
      </c>
      <c r="I2279" s="1" cm="1">
        <f t="array" ref="I2279">SUMPRODUCT(([1]OUT_FinalEnergyCons!$B$4:$B$10000="var_ncap")*1,  (ISNUMBER(SEARCH("ITOT-SWHCOA*BR",[1]OUT_FinalEnergyCons!$A$4:$A$10000)))*1,[1]OUT_FinalEnergyCons!G$4:G$10000)</f>
        <v>3.1377776063254001E-6</v>
      </c>
      <c r="J2279" s="1" cm="1">
        <f t="array" ref="J2279">SUMPRODUCT(([1]OUT_FinalEnergyCons!$B$4:$B$10000="var_ncap")*1,  (ISNUMBER(SEARCH("ITOT-SWHCOA*BR",[1]OUT_FinalEnergyCons!$A$4:$A$10000)))*1,[1]OUT_FinalEnergyCons!H$4:H$10000)</f>
        <v>2.3743280433571099E-5</v>
      </c>
      <c r="K2279" s="1" cm="1">
        <f t="array" ref="K2279">SUMPRODUCT(([1]OUT_FinalEnergyCons!$B$4:$B$10000="var_ncap")*1,  (ISNUMBER(SEARCH("ITOT-SWHCOA*BR",[1]OUT_FinalEnergyCons!$A$4:$A$10000)))*1,[1]OUT_FinalEnergyCons!I$4:I$10000)</f>
        <v>1.59308723175577E-6</v>
      </c>
    </row>
    <row r="2280" spans="2:11" x14ac:dyDescent="0.35">
      <c r="B2280" s="5" t="str">
        <f t="shared" si="1402"/>
        <v>SPS1</v>
      </c>
      <c r="C2280" s="5" t="str">
        <f t="shared" si="1403"/>
        <v>CH</v>
      </c>
      <c r="D2280" t="s">
        <v>2420</v>
      </c>
      <c r="E2280" t="str">
        <f t="shared" si="1404"/>
        <v>GWth/yr.</v>
      </c>
      <c r="F2280" s="1">
        <f t="shared" ref="F2280:K2280" si="1412">F2281</f>
        <v>0</v>
      </c>
      <c r="G2280" s="1">
        <f t="shared" si="1412"/>
        <v>5.21273777879609E-2</v>
      </c>
      <c r="H2280" s="1">
        <f t="shared" si="1412"/>
        <v>1.05237645656982E-6</v>
      </c>
      <c r="I2280" s="1">
        <f t="shared" si="1412"/>
        <v>2.44903951987042E-6</v>
      </c>
      <c r="J2280" s="1">
        <f t="shared" si="1412"/>
        <v>0.137421803593545</v>
      </c>
      <c r="K2280" s="1">
        <f t="shared" si="1412"/>
        <v>1.43510494697335E-2</v>
      </c>
    </row>
    <row r="2281" spans="2:11" x14ac:dyDescent="0.35">
      <c r="B2281" s="5" t="str">
        <f t="shared" si="1402"/>
        <v>SPS1</v>
      </c>
      <c r="C2281" s="5" t="str">
        <f t="shared" si="1403"/>
        <v>CH</v>
      </c>
      <c r="D2281" t="s">
        <v>2421</v>
      </c>
      <c r="E2281" t="str">
        <f t="shared" si="1404"/>
        <v>GWth/yr.</v>
      </c>
      <c r="F2281" s="1" cm="1">
        <f t="array" ref="F2281">SUMPRODUCT(([1]OUT_FinalEnergyCons!$B$4:$B$10000="var_ncap")*1,  (ISNUMBER(SEARCH("ITOT-SWHWOD*BR",[1]OUT_FinalEnergyCons!$A$4:$A$10000)))*1,[1]OUT_FinalEnergyCons!D$4:D$10000)</f>
        <v>0</v>
      </c>
      <c r="G2281" s="1" cm="1">
        <f t="array" ref="G2281">SUMPRODUCT(([1]OUT_FinalEnergyCons!$B$4:$B$10000="var_ncap")*1,  (ISNUMBER(SEARCH("ITOT-SWHWOD*BR",[1]OUT_FinalEnergyCons!$A$4:$A$10000)))*1,[1]OUT_FinalEnergyCons!E$4:E$10000)</f>
        <v>5.21273777879609E-2</v>
      </c>
      <c r="H2281" s="1" cm="1">
        <f t="array" ref="H2281">SUMPRODUCT(([1]OUT_FinalEnergyCons!$B$4:$B$10000="var_ncap")*1,  (ISNUMBER(SEARCH("ITOT-SWHWOD*BR",[1]OUT_FinalEnergyCons!$A$4:$A$10000)))*1,[1]OUT_FinalEnergyCons!F$4:F$10000)</f>
        <v>1.05237645656982E-6</v>
      </c>
      <c r="I2281" s="1" cm="1">
        <f t="array" ref="I2281">SUMPRODUCT(([1]OUT_FinalEnergyCons!$B$4:$B$10000="var_ncap")*1,  (ISNUMBER(SEARCH("ITOT-SWHWOD*BR",[1]OUT_FinalEnergyCons!$A$4:$A$10000)))*1,[1]OUT_FinalEnergyCons!G$4:G$10000)</f>
        <v>2.44903951987042E-6</v>
      </c>
      <c r="J2281" s="1" cm="1">
        <f t="array" ref="J2281">SUMPRODUCT(([1]OUT_FinalEnergyCons!$B$4:$B$10000="var_ncap")*1,  (ISNUMBER(SEARCH("ITOT-SWHWOD*BR",[1]OUT_FinalEnergyCons!$A$4:$A$10000)))*1,[1]OUT_FinalEnergyCons!H$4:H$10000)</f>
        <v>0.137421803593545</v>
      </c>
      <c r="K2281" s="1" cm="1">
        <f t="array" ref="K2281">SUMPRODUCT(([1]OUT_FinalEnergyCons!$B$4:$B$10000="var_ncap")*1,  (ISNUMBER(SEARCH("ITOT-SWHWOD*BR",[1]OUT_FinalEnergyCons!$A$4:$A$10000)))*1,[1]OUT_FinalEnergyCons!I$4:I$10000)</f>
        <v>1.43510494697335E-2</v>
      </c>
    </row>
    <row r="2282" spans="2:11" x14ac:dyDescent="0.35">
      <c r="B2282" s="5" t="str">
        <f t="shared" si="1402"/>
        <v>SPS1</v>
      </c>
      <c r="C2282" s="5" t="str">
        <f t="shared" si="1403"/>
        <v>CH</v>
      </c>
      <c r="D2282" t="s">
        <v>2422</v>
      </c>
      <c r="E2282" t="str">
        <f t="shared" si="1404"/>
        <v>GWth/yr.</v>
      </c>
      <c r="F2282" s="1">
        <f t="shared" ref="F2282:K2282" si="1413">F2283</f>
        <v>0</v>
      </c>
      <c r="G2282" s="1">
        <f t="shared" si="1413"/>
        <v>8.0721553218824193E-3</v>
      </c>
      <c r="H2282" s="1">
        <f t="shared" si="1413"/>
        <v>0.12678249962684299</v>
      </c>
      <c r="I2282" s="1">
        <f t="shared" si="1413"/>
        <v>8.2536174415383592E-3</v>
      </c>
      <c r="J2282" s="1">
        <f t="shared" si="1413"/>
        <v>0.12089260525920099</v>
      </c>
      <c r="K2282" s="1">
        <f t="shared" si="1413"/>
        <v>9.1211771405459399E-2</v>
      </c>
    </row>
    <row r="2283" spans="2:11" x14ac:dyDescent="0.35">
      <c r="B2283" s="5" t="str">
        <f t="shared" si="1402"/>
        <v>SPS1</v>
      </c>
      <c r="C2283" s="5" t="str">
        <f t="shared" si="1403"/>
        <v>CH</v>
      </c>
      <c r="D2283" t="s">
        <v>2423</v>
      </c>
      <c r="E2283" t="str">
        <f t="shared" si="1404"/>
        <v>GWth/yr.</v>
      </c>
      <c r="F2283" s="1" cm="1">
        <f t="array" ref="F2283">SUMPRODUCT(([1]OUT_FinalEnergyCons!$B$4:$B$10000="var_ncap")*1,  (ISNUMBER(SEARCH("ITOT-SWHPLT*BR",[1]OUT_FinalEnergyCons!$A$4:$A$10000)))*1,[1]OUT_FinalEnergyCons!D$4:D$10000)</f>
        <v>0</v>
      </c>
      <c r="G2283" s="1" cm="1">
        <f t="array" ref="G2283">SUMPRODUCT(([1]OUT_FinalEnergyCons!$B$4:$B$10000="var_ncap")*1,  (ISNUMBER(SEARCH("ITOT-SWHPLT*BR",[1]OUT_FinalEnergyCons!$A$4:$A$10000)))*1,[1]OUT_FinalEnergyCons!E$4:E$10000)</f>
        <v>8.0721553218824193E-3</v>
      </c>
      <c r="H2283" s="1" cm="1">
        <f t="array" ref="H2283">SUMPRODUCT(([1]OUT_FinalEnergyCons!$B$4:$B$10000="var_ncap")*1,  (ISNUMBER(SEARCH("ITOT-SWHPLT*BR",[1]OUT_FinalEnergyCons!$A$4:$A$10000)))*1,[1]OUT_FinalEnergyCons!F$4:F$10000)</f>
        <v>0.12678249962684299</v>
      </c>
      <c r="I2283" s="1" cm="1">
        <f t="array" ref="I2283">SUMPRODUCT(([1]OUT_FinalEnergyCons!$B$4:$B$10000="var_ncap")*1,  (ISNUMBER(SEARCH("ITOT-SWHPLT*BR",[1]OUT_FinalEnergyCons!$A$4:$A$10000)))*1,[1]OUT_FinalEnergyCons!G$4:G$10000)</f>
        <v>8.2536174415383592E-3</v>
      </c>
      <c r="J2283" s="1" cm="1">
        <f t="array" ref="J2283">SUMPRODUCT(([1]OUT_FinalEnergyCons!$B$4:$B$10000="var_ncap")*1,  (ISNUMBER(SEARCH("ITOT-SWHPLT*BR",[1]OUT_FinalEnergyCons!$A$4:$A$10000)))*1,[1]OUT_FinalEnergyCons!H$4:H$10000)</f>
        <v>0.12089260525920099</v>
      </c>
      <c r="K2283" s="1" cm="1">
        <f t="array" ref="K2283">SUMPRODUCT(([1]OUT_FinalEnergyCons!$B$4:$B$10000="var_ncap")*1,  (ISNUMBER(SEARCH("ITOT-SWHPLT*BR",[1]OUT_FinalEnergyCons!$A$4:$A$10000)))*1,[1]OUT_FinalEnergyCons!I$4:I$10000)</f>
        <v>9.1211771405459399E-2</v>
      </c>
    </row>
    <row r="2284" spans="2:11" x14ac:dyDescent="0.35">
      <c r="B2284" s="5" t="str">
        <f t="shared" si="1402"/>
        <v>SPS1</v>
      </c>
      <c r="C2284" s="5" t="str">
        <f t="shared" si="1403"/>
        <v>CH</v>
      </c>
      <c r="D2284" t="s">
        <v>2424</v>
      </c>
      <c r="E2284" t="str">
        <f t="shared" si="1404"/>
        <v>GWth/yr.</v>
      </c>
      <c r="F2284" s="1">
        <f t="shared" ref="F2284:K2284" si="1414">F2285</f>
        <v>0</v>
      </c>
      <c r="G2284" s="1">
        <f t="shared" si="1414"/>
        <v>1.72364048673092E-6</v>
      </c>
      <c r="H2284" s="1">
        <f t="shared" si="1414"/>
        <v>1.78707304552297E-6</v>
      </c>
      <c r="I2284" s="1">
        <f t="shared" si="1414"/>
        <v>4.2540907735948398E-6</v>
      </c>
      <c r="J2284" s="1">
        <f t="shared" si="1414"/>
        <v>3.9280808871139598E-2</v>
      </c>
      <c r="K2284" s="1">
        <f t="shared" si="1414"/>
        <v>1.56476530887845E-6</v>
      </c>
    </row>
    <row r="2285" spans="2:11" x14ac:dyDescent="0.35">
      <c r="B2285" s="5" t="str">
        <f t="shared" si="1402"/>
        <v>SPS1</v>
      </c>
      <c r="C2285" s="5" t="str">
        <f t="shared" si="1403"/>
        <v>CH</v>
      </c>
      <c r="D2285" t="s">
        <v>2425</v>
      </c>
      <c r="E2285" t="str">
        <f t="shared" si="1404"/>
        <v>GWth/yr.</v>
      </c>
      <c r="F2285" s="1" cm="1">
        <f t="array" ref="F2285">SUMPRODUCT(([1]OUT_FinalEnergyCons!$B$4:$B$10000="var_ncap")*1,  (ISNUMBER(SEARCH("ITOT-SWHWST*BR",[1]OUT_FinalEnergyCons!$A$4:$A$10000)))*1,[1]OUT_FinalEnergyCons!D$4:D$10000)</f>
        <v>0</v>
      </c>
      <c r="G2285" s="1" cm="1">
        <f t="array" ref="G2285">SUMPRODUCT(([1]OUT_FinalEnergyCons!$B$4:$B$10000="var_ncap")*1,  (ISNUMBER(SEARCH("ITOT-SWHWST*BR",[1]OUT_FinalEnergyCons!$A$4:$A$10000)))*1,[1]OUT_FinalEnergyCons!E$4:E$10000)</f>
        <v>1.72364048673092E-6</v>
      </c>
      <c r="H2285" s="1" cm="1">
        <f t="array" ref="H2285">SUMPRODUCT(([1]OUT_FinalEnergyCons!$B$4:$B$10000="var_ncap")*1,  (ISNUMBER(SEARCH("ITOT-SWHWST*BR",[1]OUT_FinalEnergyCons!$A$4:$A$10000)))*1,[1]OUT_FinalEnergyCons!F$4:F$10000)</f>
        <v>1.78707304552297E-6</v>
      </c>
      <c r="I2285" s="1" cm="1">
        <f t="array" ref="I2285">SUMPRODUCT(([1]OUT_FinalEnergyCons!$B$4:$B$10000="var_ncap")*1,  (ISNUMBER(SEARCH("ITOT-SWHWST*BR",[1]OUT_FinalEnergyCons!$A$4:$A$10000)))*1,[1]OUT_FinalEnergyCons!G$4:G$10000)</f>
        <v>4.2540907735948398E-6</v>
      </c>
      <c r="J2285" s="1" cm="1">
        <f t="array" ref="J2285">SUMPRODUCT(([1]OUT_FinalEnergyCons!$B$4:$B$10000="var_ncap")*1,  (ISNUMBER(SEARCH("ITOT-SWHWST*BR",[1]OUT_FinalEnergyCons!$A$4:$A$10000)))*1,[1]OUT_FinalEnergyCons!H$4:H$10000)</f>
        <v>3.9280808871139598E-2</v>
      </c>
      <c r="K2285" s="1" cm="1">
        <f t="array" ref="K2285">SUMPRODUCT(([1]OUT_FinalEnergyCons!$B$4:$B$10000="var_ncap")*1,  (ISNUMBER(SEARCH("ITOT-SWHWST*BR",[1]OUT_FinalEnergyCons!$A$4:$A$10000)))*1,[1]OUT_FinalEnergyCons!I$4:I$10000)</f>
        <v>1.56476530887845E-6</v>
      </c>
    </row>
    <row r="2286" spans="2:11" x14ac:dyDescent="0.35">
      <c r="B2286" s="5" t="str">
        <f t="shared" si="1402"/>
        <v>SPS1</v>
      </c>
      <c r="C2286" s="5" t="str">
        <f t="shared" si="1403"/>
        <v>CH</v>
      </c>
      <c r="D2286" t="s">
        <v>2426</v>
      </c>
      <c r="E2286" t="str">
        <f t="shared" si="1404"/>
        <v>GWth/yr.</v>
      </c>
      <c r="F2286" s="1">
        <f t="shared" ref="F2286:K2286" si="1415">F2287</f>
        <v>0</v>
      </c>
      <c r="G2286" s="1">
        <f t="shared" si="1415"/>
        <v>2.64352955984094E-3</v>
      </c>
      <c r="H2286" s="1">
        <f t="shared" si="1415"/>
        <v>4.9061278376988597E-8</v>
      </c>
      <c r="I2286" s="1">
        <f t="shared" si="1415"/>
        <v>4.6406016799594103E-8</v>
      </c>
      <c r="J2286" s="1">
        <f t="shared" si="1415"/>
        <v>3.8993786209741599E-3</v>
      </c>
      <c r="K2286" s="1">
        <f t="shared" si="1415"/>
        <v>6.0079928349414703E-3</v>
      </c>
    </row>
    <row r="2287" spans="2:11" x14ac:dyDescent="0.35">
      <c r="B2287" s="5" t="str">
        <f t="shared" si="1402"/>
        <v>SPS1</v>
      </c>
      <c r="C2287" s="5" t="str">
        <f t="shared" si="1403"/>
        <v>CH</v>
      </c>
      <c r="D2287" t="s">
        <v>2427</v>
      </c>
      <c r="E2287" t="str">
        <f t="shared" si="1404"/>
        <v>GWth/yr.</v>
      </c>
      <c r="F2287" s="1" cm="1">
        <f t="array" ref="F2287">SUMPRODUCT(([1]OUT_FinalEnergyCons!$B$4:$B$10000="var_ncap")*1, (ISNUMBER(SEARCH("ITOT-SWHSOLBR",[1]OUT_FinalEnergyCons!$A$4:$A$10000)))*1,[1]OUT_FinalEnergyCons!D$4:D$10000)</f>
        <v>0</v>
      </c>
      <c r="G2287" s="1" cm="1">
        <f t="array" ref="G2287">SUMPRODUCT(([1]OUT_FinalEnergyCons!$B$4:$B$10000="var_ncap")*1, (ISNUMBER(SEARCH("ITOT-SWHSOLBR",[1]OUT_FinalEnergyCons!$A$4:$A$10000)))*1,[1]OUT_FinalEnergyCons!E$4:E$10000)</f>
        <v>2.64352955984094E-3</v>
      </c>
      <c r="H2287" s="1" cm="1">
        <f t="array" ref="H2287">SUMPRODUCT(([1]OUT_FinalEnergyCons!$B$4:$B$10000="var_ncap")*1, (ISNUMBER(SEARCH("ITOT-SWHSOLBR",[1]OUT_FinalEnergyCons!$A$4:$A$10000)))*1,[1]OUT_FinalEnergyCons!F$4:F$10000)</f>
        <v>4.9061278376988597E-8</v>
      </c>
      <c r="I2287" s="1" cm="1">
        <f t="array" ref="I2287">SUMPRODUCT(([1]OUT_FinalEnergyCons!$B$4:$B$10000="var_ncap")*1, (ISNUMBER(SEARCH("ITOT-SWHSOLBR",[1]OUT_FinalEnergyCons!$A$4:$A$10000)))*1,[1]OUT_FinalEnergyCons!G$4:G$10000)</f>
        <v>4.6406016799594103E-8</v>
      </c>
      <c r="J2287" s="1" cm="1">
        <f t="array" ref="J2287">SUMPRODUCT(([1]OUT_FinalEnergyCons!$B$4:$B$10000="var_ncap")*1, (ISNUMBER(SEARCH("ITOT-SWHSOLBR",[1]OUT_FinalEnergyCons!$A$4:$A$10000)))*1,[1]OUT_FinalEnergyCons!H$4:H$10000)</f>
        <v>3.8993786209741599E-3</v>
      </c>
      <c r="K2287" s="1" cm="1">
        <f t="array" ref="K2287">SUMPRODUCT(([1]OUT_FinalEnergyCons!$B$4:$B$10000="var_ncap")*1, (ISNUMBER(SEARCH("ITOT-SWHSOLBR",[1]OUT_FinalEnergyCons!$A$4:$A$10000)))*1,[1]OUT_FinalEnergyCons!I$4:I$10000)</f>
        <v>6.0079928349414703E-3</v>
      </c>
    </row>
    <row r="2288" spans="2:11" x14ac:dyDescent="0.35">
      <c r="B2288" s="5" t="str">
        <f t="shared" si="1402"/>
        <v>SPS1</v>
      </c>
      <c r="C2288" s="5" t="str">
        <f t="shared" si="1403"/>
        <v>CH</v>
      </c>
      <c r="D2288" t="s">
        <v>2428</v>
      </c>
      <c r="E2288" t="str">
        <f t="shared" si="1404"/>
        <v>GWth/yr.</v>
      </c>
      <c r="F2288" s="1">
        <f t="shared" ref="F2288:K2288" si="1416">F2289</f>
        <v>0</v>
      </c>
      <c r="G2288" s="1">
        <f t="shared" si="1416"/>
        <v>0</v>
      </c>
      <c r="H2288" s="1">
        <f t="shared" si="1416"/>
        <v>0</v>
      </c>
      <c r="I2288" s="1">
        <f t="shared" si="1416"/>
        <v>1.2727124359430901E-3</v>
      </c>
      <c r="J2288" s="1">
        <f t="shared" si="1416"/>
        <v>4.6033721352319902E-2</v>
      </c>
      <c r="K2288" s="1">
        <f t="shared" si="1416"/>
        <v>1.08603662282</v>
      </c>
    </row>
    <row r="2289" spans="2:11" x14ac:dyDescent="0.35">
      <c r="B2289" s="5" t="str">
        <f t="shared" si="1402"/>
        <v>SPS1</v>
      </c>
      <c r="C2289" s="5" t="str">
        <f t="shared" si="1403"/>
        <v>CH</v>
      </c>
      <c r="D2289" t="s">
        <v>2429</v>
      </c>
      <c r="E2289" t="str">
        <f t="shared" si="1404"/>
        <v>GWth/yr.</v>
      </c>
      <c r="F2289" s="1" cm="1">
        <f t="array" ref="F2289">SUMPRODUCT(([1]OUT_FinalEnergyCons!$B$4:$B$10000="var_ncap")*1, (ISNUMBER(SEARCH("ITOT-SWHH2BR",[1]OUT_FinalEnergyCons!$A$4:$A$10000)))*1,[1]OUT_FinalEnergyCons!D$4:D$10000)</f>
        <v>0</v>
      </c>
      <c r="G2289" s="1" cm="1">
        <f t="array" ref="G2289">SUMPRODUCT(([1]OUT_FinalEnergyCons!$B$4:$B$10000="var_ncap")*1, (ISNUMBER(SEARCH("ITOT-SWHH2BR",[1]OUT_FinalEnergyCons!$A$4:$A$10000)))*1,[1]OUT_FinalEnergyCons!E$4:E$10000)</f>
        <v>0</v>
      </c>
      <c r="H2289" s="1" cm="1">
        <f t="array" ref="H2289">SUMPRODUCT(([1]OUT_FinalEnergyCons!$B$4:$B$10000="var_ncap")*1, (ISNUMBER(SEARCH("ITOT-SWHH2BR",[1]OUT_FinalEnergyCons!$A$4:$A$10000)))*1,[1]OUT_FinalEnergyCons!F$4:F$10000)</f>
        <v>0</v>
      </c>
      <c r="I2289" s="1" cm="1">
        <f t="array" ref="I2289">SUMPRODUCT(([1]OUT_FinalEnergyCons!$B$4:$B$10000="var_ncap")*1, (ISNUMBER(SEARCH("ITOT-SWHH2BR",[1]OUT_FinalEnergyCons!$A$4:$A$10000)))*1,[1]OUT_FinalEnergyCons!G$4:G$10000)</f>
        <v>1.2727124359430901E-3</v>
      </c>
      <c r="J2289" s="1" cm="1">
        <f t="array" ref="J2289">SUMPRODUCT(([1]OUT_FinalEnergyCons!$B$4:$B$10000="var_ncap")*1, (ISNUMBER(SEARCH("ITOT-SWHH2BR",[1]OUT_FinalEnergyCons!$A$4:$A$10000)))*1,[1]OUT_FinalEnergyCons!H$4:H$10000)</f>
        <v>4.6033721352319902E-2</v>
      </c>
      <c r="K2289" s="1" cm="1">
        <f t="array" ref="K2289">SUMPRODUCT(([1]OUT_FinalEnergyCons!$B$4:$B$10000="var_ncap")*1, (ISNUMBER(SEARCH("ITOT-SWHH2BR",[1]OUT_FinalEnergyCons!$A$4:$A$10000)))*1,[1]OUT_FinalEnergyCons!I$4:I$10000)</f>
        <v>1.08603662282</v>
      </c>
    </row>
    <row r="2290" spans="2:11" x14ac:dyDescent="0.35">
      <c r="B2290" s="9" t="str">
        <f>'SPS1'!B1808</f>
        <v>SPS1</v>
      </c>
      <c r="C2290" s="9" t="str">
        <f>'SPS1'!C1808</f>
        <v>CH</v>
      </c>
      <c r="D2290" s="2" t="s">
        <v>2430</v>
      </c>
      <c r="E2290" s="9" t="str">
        <f t="shared" si="1404"/>
        <v>GWth/yr.</v>
      </c>
      <c r="F2290" s="17">
        <f t="shared" ref="F2290:K2290" si="1417">SUM(F2291,F2294,F2296,F2300,F2302,F2304,F2306)</f>
        <v>1.569555889680042E-5</v>
      </c>
      <c r="G2290" s="17">
        <f t="shared" si="1417"/>
        <v>8.805519511563116E-2</v>
      </c>
      <c r="H2290" s="17">
        <f t="shared" si="1417"/>
        <v>0.20512278895127628</v>
      </c>
      <c r="I2290" s="17">
        <f t="shared" si="1417"/>
        <v>0.78985473023470754</v>
      </c>
      <c r="J2290" s="17">
        <f t="shared" si="1417"/>
        <v>1.7854288426965599</v>
      </c>
      <c r="K2290" s="17">
        <f t="shared" si="1417"/>
        <v>2.3217825068850568</v>
      </c>
    </row>
    <row r="2291" spans="2:11" x14ac:dyDescent="0.35">
      <c r="B2291" s="5" t="str">
        <f t="shared" ref="B2291:B2307" si="1418">B2290</f>
        <v>SPS1</v>
      </c>
      <c r="C2291" s="5" t="str">
        <f t="shared" ref="C2291:C2307" si="1419">C2290</f>
        <v>CH</v>
      </c>
      <c r="D2291" t="s">
        <v>2431</v>
      </c>
      <c r="E2291" t="str">
        <f t="shared" si="1404"/>
        <v>GWth/yr.</v>
      </c>
      <c r="F2291" s="1">
        <f t="shared" ref="F2291:K2291" si="1420">SUM(F2292:F2293)</f>
        <v>8.7100943827439456E-7</v>
      </c>
      <c r="G2291" s="1">
        <f t="shared" si="1420"/>
        <v>5.0004963151145005E-7</v>
      </c>
      <c r="H2291" s="1">
        <f t="shared" si="1420"/>
        <v>9.9196124089710106E-7</v>
      </c>
      <c r="I2291" s="1">
        <f t="shared" si="1420"/>
        <v>0.67824694410568676</v>
      </c>
      <c r="J2291" s="1">
        <f t="shared" si="1420"/>
        <v>0.8017207779902944</v>
      </c>
      <c r="K2291" s="1">
        <f t="shared" si="1420"/>
        <v>1.2060652946500416</v>
      </c>
    </row>
    <row r="2292" spans="2:11" x14ac:dyDescent="0.35">
      <c r="B2292" s="5" t="str">
        <f t="shared" si="1418"/>
        <v>SPS1</v>
      </c>
      <c r="C2292" s="5" t="str">
        <f t="shared" si="1419"/>
        <v>CH</v>
      </c>
      <c r="D2292" t="s">
        <v>2432</v>
      </c>
      <c r="E2292" t="str">
        <f t="shared" si="1404"/>
        <v>GWth/yr.</v>
      </c>
      <c r="F2292" s="1" cm="1">
        <f t="array" ref="F2292">SUMPRODUCT(([1]OUT_FinalEnergyCons!$B$4:$B$10000="var_ncap")*1, (ISNUMBER(SEARCH("SCOM-SHELCBR",[1]OUT_FinalEnergyCons!$A$4:$A$10000)))*1,[1]OUT_FinalEnergyCons!D$4:D$10000)</f>
        <v>8.0136574340485496E-7</v>
      </c>
      <c r="G2292" s="1" cm="1">
        <f t="array" ref="G2292">SUMPRODUCT(([1]OUT_FinalEnergyCons!$B$4:$B$10000="var_ncap")*1, (ISNUMBER(SEARCH("SCOM-SHELCBR",[1]OUT_FinalEnergyCons!$A$4:$A$10000)))*1,[1]OUT_FinalEnergyCons!E$4:E$10000)</f>
        <v>3.9144384854143701E-7</v>
      </c>
      <c r="H2292" s="1" cm="1">
        <f t="array" ref="H2292">SUMPRODUCT(([1]OUT_FinalEnergyCons!$B$4:$B$10000="var_ncap")*1, (ISNUMBER(SEARCH("SCOM-SHELCBR",[1]OUT_FinalEnergyCons!$A$4:$A$10000)))*1,[1]OUT_FinalEnergyCons!F$4:F$10000)</f>
        <v>5.8814876001119501E-7</v>
      </c>
      <c r="I2292" s="1" cm="1">
        <f t="array" ref="I2292">SUMPRODUCT(([1]OUT_FinalEnergyCons!$B$4:$B$10000="var_ncap")*1, (ISNUMBER(SEARCH("SCOM-SHELCBR",[1]OUT_FinalEnergyCons!$A$4:$A$10000)))*1,[1]OUT_FinalEnergyCons!G$4:G$10000)</f>
        <v>7.52920196783655E-7</v>
      </c>
      <c r="J2292" s="1" cm="1">
        <f t="array" ref="J2292">SUMPRODUCT(([1]OUT_FinalEnergyCons!$B$4:$B$10000="var_ncap")*1, (ISNUMBER(SEARCH("SCOM-SHELCBR",[1]OUT_FinalEnergyCons!$A$4:$A$10000)))*1,[1]OUT_FinalEnergyCons!H$4:H$10000)</f>
        <v>1.49115652799864E-2</v>
      </c>
      <c r="K2292" s="1" cm="1">
        <f t="array" ref="K2292">SUMPRODUCT(([1]OUT_FinalEnergyCons!$B$4:$B$10000="var_ncap")*1, (ISNUMBER(SEARCH("SCOM-SHELCBR",[1]OUT_FinalEnergyCons!$A$4:$A$10000)))*1,[1]OUT_FinalEnergyCons!I$4:I$10000)</f>
        <v>3.5673987617078798E-6</v>
      </c>
    </row>
    <row r="2293" spans="2:11" x14ac:dyDescent="0.35">
      <c r="B2293" s="5" t="str">
        <f t="shared" si="1418"/>
        <v>SPS1</v>
      </c>
      <c r="C2293" s="5" t="str">
        <f t="shared" si="1419"/>
        <v>CH</v>
      </c>
      <c r="D2293" t="s">
        <v>2433</v>
      </c>
      <c r="E2293" t="str">
        <f t="shared" si="1404"/>
        <v>GWth/yr.</v>
      </c>
      <c r="F2293" s="1" cm="1">
        <f t="array" ref="F2293">SUMPRODUCT(([1]OUT_FinalEnergyCons!$B$4:$B$10000="var_ncap")*1, (ISNUMBER(SEARCH("SCOM-SHELCHP",[1]OUT_FinalEnergyCons!$A$4:$A$10000)))*1,[1]OUT_FinalEnergyCons!D$4:D$10000)</f>
        <v>6.9643694869539605E-8</v>
      </c>
      <c r="G2293" s="1" cm="1">
        <f t="array" ref="G2293">SUMPRODUCT(([1]OUT_FinalEnergyCons!$B$4:$B$10000="var_ncap")*1, (ISNUMBER(SEARCH("SCOM-SHELCHP",[1]OUT_FinalEnergyCons!$A$4:$A$10000)))*1,[1]OUT_FinalEnergyCons!E$4:E$10000)</f>
        <v>1.08605782970013E-7</v>
      </c>
      <c r="H2293" s="1" cm="1">
        <f t="array" ref="H2293">SUMPRODUCT(([1]OUT_FinalEnergyCons!$B$4:$B$10000="var_ncap")*1, (ISNUMBER(SEARCH("SCOM-SHELCHP",[1]OUT_FinalEnergyCons!$A$4:$A$10000)))*1,[1]OUT_FinalEnergyCons!F$4:F$10000)</f>
        <v>4.03812480885906E-7</v>
      </c>
      <c r="I2293" s="1" cm="1">
        <f t="array" ref="I2293">SUMPRODUCT(([1]OUT_FinalEnergyCons!$B$4:$B$10000="var_ncap")*1, (ISNUMBER(SEARCH("SCOM-SHELCHP",[1]OUT_FinalEnergyCons!$A$4:$A$10000)))*1,[1]OUT_FinalEnergyCons!G$4:G$10000)</f>
        <v>0.67824619118549001</v>
      </c>
      <c r="J2293" s="1" cm="1">
        <f t="array" ref="J2293">SUMPRODUCT(([1]OUT_FinalEnergyCons!$B$4:$B$10000="var_ncap")*1, (ISNUMBER(SEARCH("SCOM-SHELCHP",[1]OUT_FinalEnergyCons!$A$4:$A$10000)))*1,[1]OUT_FinalEnergyCons!H$4:H$10000)</f>
        <v>0.78680921271030801</v>
      </c>
      <c r="K2293" s="1" cm="1">
        <f t="array" ref="K2293">SUMPRODUCT(([1]OUT_FinalEnergyCons!$B$4:$B$10000="var_ncap")*1, (ISNUMBER(SEARCH("SCOM-SHELCHP",[1]OUT_FinalEnergyCons!$A$4:$A$10000)))*1,[1]OUT_FinalEnergyCons!I$4:I$10000)</f>
        <v>1.2060617272512799</v>
      </c>
    </row>
    <row r="2294" spans="2:11" x14ac:dyDescent="0.35">
      <c r="B2294" s="5" t="str">
        <f t="shared" si="1418"/>
        <v>SPS1</v>
      </c>
      <c r="C2294" s="5" t="str">
        <f t="shared" si="1419"/>
        <v>CH</v>
      </c>
      <c r="D2294" t="s">
        <v>2434</v>
      </c>
      <c r="E2294" t="str">
        <f t="shared" si="1404"/>
        <v>GWth/yr.</v>
      </c>
      <c r="F2294" s="1">
        <f t="shared" ref="F2294:K2294" si="1421">F2295</f>
        <v>4.32170595684563E-7</v>
      </c>
      <c r="G2294" s="1">
        <f t="shared" si="1421"/>
        <v>2.6889633541337402E-7</v>
      </c>
      <c r="H2294" s="1">
        <f t="shared" si="1421"/>
        <v>1.71481080344686E-7</v>
      </c>
      <c r="I2294" s="1">
        <f t="shared" si="1421"/>
        <v>3.7727669777355198E-7</v>
      </c>
      <c r="J2294" s="1">
        <f t="shared" si="1421"/>
        <v>2.2388175127916002E-6</v>
      </c>
      <c r="K2294" s="1">
        <f t="shared" si="1421"/>
        <v>1.3676707916903399E-7</v>
      </c>
    </row>
    <row r="2295" spans="2:11" x14ac:dyDescent="0.35">
      <c r="B2295" s="5" t="str">
        <f t="shared" si="1418"/>
        <v>SPS1</v>
      </c>
      <c r="C2295" s="5" t="str">
        <f t="shared" si="1419"/>
        <v>CH</v>
      </c>
      <c r="D2295" t="s">
        <v>2435</v>
      </c>
      <c r="E2295" t="str">
        <f t="shared" ref="E2295:E2307" si="1422">E2294</f>
        <v>GWth/yr.</v>
      </c>
      <c r="F2295" s="1" cm="1">
        <f t="array" ref="F2295">SUMPRODUCT(([1]OUT_FinalEnergyCons!$B$4:$B$10000="var_ncap")*1,(ISNUMBER(SEARCH("SCOM-SHLFOBR",[1]OUT_FinalEnergyCons!$A$4:$A$10000)))*1,[1]OUT_FinalEnergyCons!D$4:D$10000)</f>
        <v>4.32170595684563E-7</v>
      </c>
      <c r="G2295" s="1" cm="1">
        <f t="array" ref="G2295">SUMPRODUCT(([1]OUT_FinalEnergyCons!$B$4:$B$10000="var_ncap")*1,(ISNUMBER(SEARCH("SCOM-SHLFOBR",[1]OUT_FinalEnergyCons!$A$4:$A$10000)))*1,[1]OUT_FinalEnergyCons!E$4:E$10000)</f>
        <v>2.6889633541337402E-7</v>
      </c>
      <c r="H2295" s="1" cm="1">
        <f t="array" ref="H2295">SUMPRODUCT(([1]OUT_FinalEnergyCons!$B$4:$B$10000="var_ncap")*1,(ISNUMBER(SEARCH("SCOM-SHLFOBR",[1]OUT_FinalEnergyCons!$A$4:$A$10000)))*1,[1]OUT_FinalEnergyCons!F$4:F$10000)</f>
        <v>1.71481080344686E-7</v>
      </c>
      <c r="I2295" s="1" cm="1">
        <f t="array" ref="I2295">SUMPRODUCT(([1]OUT_FinalEnergyCons!$B$4:$B$10000="var_ncap")*1,(ISNUMBER(SEARCH("SCOM-SHLFOBR",[1]OUT_FinalEnergyCons!$A$4:$A$10000)))*1,[1]OUT_FinalEnergyCons!G$4:G$10000)</f>
        <v>3.7727669777355198E-7</v>
      </c>
      <c r="J2295" s="1" cm="1">
        <f t="array" ref="J2295">SUMPRODUCT(([1]OUT_FinalEnergyCons!$B$4:$B$10000="var_ncap")*1,(ISNUMBER(SEARCH("SCOM-SHLFOBR",[1]OUT_FinalEnergyCons!$A$4:$A$10000)))*1,[1]OUT_FinalEnergyCons!H$4:H$10000)</f>
        <v>2.2388175127916002E-6</v>
      </c>
      <c r="K2295" s="1" cm="1">
        <f t="array" ref="K2295">SUMPRODUCT(([1]OUT_FinalEnergyCons!$B$4:$B$10000="var_ncap")*1,(ISNUMBER(SEARCH("SCOM-SHLFOBR",[1]OUT_FinalEnergyCons!$A$4:$A$10000)))*1,[1]OUT_FinalEnergyCons!I$4:I$10000)</f>
        <v>1.3676707916903399E-7</v>
      </c>
    </row>
    <row r="2296" spans="2:11" x14ac:dyDescent="0.35">
      <c r="B2296" s="5" t="str">
        <f t="shared" si="1418"/>
        <v>SPS1</v>
      </c>
      <c r="C2296" s="5" t="str">
        <f t="shared" si="1419"/>
        <v>CH</v>
      </c>
      <c r="D2296" t="s">
        <v>2436</v>
      </c>
      <c r="E2296" t="str">
        <f t="shared" si="1422"/>
        <v>GWth/yr.</v>
      </c>
      <c r="F2296" s="1">
        <f t="shared" ref="F2296:K2296" si="1423">SUM(F2297:F2299)</f>
        <v>6.2505301688808354E-7</v>
      </c>
      <c r="G2296" s="1">
        <f t="shared" si="1423"/>
        <v>1.402391032809599E-5</v>
      </c>
      <c r="H2296" s="1">
        <f t="shared" si="1423"/>
        <v>0.14045286660392972</v>
      </c>
      <c r="I2296" s="1">
        <f t="shared" si="1423"/>
        <v>9.8874219947607256E-2</v>
      </c>
      <c r="J2296" s="1">
        <f t="shared" si="1423"/>
        <v>0.23003878243218354</v>
      </c>
      <c r="K2296" s="1">
        <f t="shared" si="1423"/>
        <v>0.21026645908616662</v>
      </c>
    </row>
    <row r="2297" spans="2:11" x14ac:dyDescent="0.35">
      <c r="B2297" s="5" t="str">
        <f t="shared" si="1418"/>
        <v>SPS1</v>
      </c>
      <c r="C2297" s="5" t="str">
        <f t="shared" si="1419"/>
        <v>CH</v>
      </c>
      <c r="D2297" t="s">
        <v>2437</v>
      </c>
      <c r="E2297" t="str">
        <f t="shared" si="1422"/>
        <v>GWth/yr.</v>
      </c>
      <c r="F2297" s="1" cm="1">
        <f t="array" ref="F2297">SUMPRODUCT(([1]OUT_FinalEnergyCons!$B$4:$B$10000="var_ncap")*1, (ISNUMBER(SEARCH("SCOM-SHNGABR",[1]OUT_FinalEnergyCons!$A$4:$A$10000)))*1,[1]OUT_FinalEnergyCons!D$4:D$10000)</f>
        <v>9.33404515345395E-8</v>
      </c>
      <c r="G2297" s="1" cm="1">
        <f t="array" ref="G2297">SUMPRODUCT(([1]OUT_FinalEnergyCons!$B$4:$B$10000="var_ncap")*1, (ISNUMBER(SEARCH("SCOM-SHNGABR",[1]OUT_FinalEnergyCons!$A$4:$A$10000)))*1,[1]OUT_FinalEnergyCons!E$4:E$10000)</f>
        <v>3.0650342897425798E-7</v>
      </c>
      <c r="H2297" s="1" cm="1">
        <f t="array" ref="H2297">SUMPRODUCT(([1]OUT_FinalEnergyCons!$B$4:$B$10000="var_ncap")*1, (ISNUMBER(SEARCH("SCOM-SHNGABR",[1]OUT_FinalEnergyCons!$A$4:$A$10000)))*1,[1]OUT_FinalEnergyCons!F$4:F$10000)</f>
        <v>2.31367810018775E-7</v>
      </c>
      <c r="I2297" s="1" cm="1">
        <f t="array" ref="I2297">SUMPRODUCT(([1]OUT_FinalEnergyCons!$B$4:$B$10000="var_ncap")*1, (ISNUMBER(SEARCH("SCOM-SHNGABR",[1]OUT_FinalEnergyCons!$A$4:$A$10000)))*1,[1]OUT_FinalEnergyCons!G$4:G$10000)</f>
        <v>4.6788472019580601E-7</v>
      </c>
      <c r="J2297" s="1" cm="1">
        <f t="array" ref="J2297">SUMPRODUCT(([1]OUT_FinalEnergyCons!$B$4:$B$10000="var_ncap")*1, (ISNUMBER(SEARCH("SCOM-SHNGABR",[1]OUT_FinalEnergyCons!$A$4:$A$10000)))*1,[1]OUT_FinalEnergyCons!H$4:H$10000)</f>
        <v>2.3107756521381199E-6</v>
      </c>
      <c r="K2297" s="1" cm="1">
        <f t="array" ref="K2297">SUMPRODUCT(([1]OUT_FinalEnergyCons!$B$4:$B$10000="var_ncap")*1, (ISNUMBER(SEARCH("SCOM-SHNGABR",[1]OUT_FinalEnergyCons!$A$4:$A$10000)))*1,[1]OUT_FinalEnergyCons!I$4:I$10000)</f>
        <v>3.4108645055447998E-7</v>
      </c>
    </row>
    <row r="2298" spans="2:11" x14ac:dyDescent="0.35">
      <c r="B2298" s="5" t="str">
        <f t="shared" si="1418"/>
        <v>SPS1</v>
      </c>
      <c r="C2298" s="5" t="str">
        <f t="shared" si="1419"/>
        <v>CH</v>
      </c>
      <c r="D2298" t="s">
        <v>2438</v>
      </c>
      <c r="E2298" t="str">
        <f t="shared" si="1422"/>
        <v>GWth/yr.</v>
      </c>
      <c r="F2298" s="1" cm="1">
        <f t="array" ref="F2298">SUMPRODUCT(([1]OUT_FinalEnergyCons!$B$4:$B$10000="var_ncap")*1, (ISNUMBER(SEARCH("SCOM-SHngahp",[1]OUT_FinalEnergyCons!$A$4:$A$10000)))*1,[1]OUT_FinalEnergyCons!D$4:D$10000)</f>
        <v>2.22575377862235E-7</v>
      </c>
      <c r="G2298" s="1" cm="1">
        <f t="array" ref="G2298">SUMPRODUCT(([1]OUT_FinalEnergyCons!$B$4:$B$10000="var_ncap")*1, (ISNUMBER(SEARCH("SCOM-SHngahp",[1]OUT_FinalEnergyCons!$A$4:$A$10000)))*1,[1]OUT_FinalEnergyCons!E$4:E$10000)</f>
        <v>1.25790858558384E-5</v>
      </c>
      <c r="H2298" s="1" cm="1">
        <f t="array" ref="H2298">SUMPRODUCT(([1]OUT_FinalEnergyCons!$B$4:$B$10000="var_ncap")*1, (ISNUMBER(SEARCH("SCOM-SHngahp",[1]OUT_FinalEnergyCons!$A$4:$A$10000)))*1,[1]OUT_FinalEnergyCons!F$4:F$10000)</f>
        <v>0.14045232457875301</v>
      </c>
      <c r="I2298" s="1" cm="1">
        <f t="array" ref="I2298">SUMPRODUCT(([1]OUT_FinalEnergyCons!$B$4:$B$10000="var_ncap")*1, (ISNUMBER(SEARCH("SCOM-SHngahp",[1]OUT_FinalEnergyCons!$A$4:$A$10000)))*1,[1]OUT_FinalEnergyCons!G$4:G$10000)</f>
        <v>9.8873389206483697E-2</v>
      </c>
      <c r="J2298" s="1" cm="1">
        <f t="array" ref="J2298">SUMPRODUCT(([1]OUT_FinalEnergyCons!$B$4:$B$10000="var_ncap")*1, (ISNUMBER(SEARCH("SCOM-SHngahp",[1]OUT_FinalEnergyCons!$A$4:$A$10000)))*1,[1]OUT_FinalEnergyCons!H$4:H$10000)</f>
        <v>0.23001615430528199</v>
      </c>
      <c r="K2298" s="1" cm="1">
        <f t="array" ref="K2298">SUMPRODUCT(([1]OUT_FinalEnergyCons!$B$4:$B$10000="var_ncap")*1, (ISNUMBER(SEARCH("SCOM-SHngahp",[1]OUT_FinalEnergyCons!$A$4:$A$10000)))*1,[1]OUT_FinalEnergyCons!I$4:I$10000)</f>
        <v>0.21025596686845099</v>
      </c>
    </row>
    <row r="2299" spans="2:11" x14ac:dyDescent="0.35">
      <c r="B2299" s="5" t="str">
        <f t="shared" si="1418"/>
        <v>SPS1</v>
      </c>
      <c r="C2299" s="5" t="str">
        <f t="shared" si="1419"/>
        <v>CH</v>
      </c>
      <c r="D2299" t="s">
        <v>2439</v>
      </c>
      <c r="E2299" t="str">
        <f t="shared" si="1422"/>
        <v>GWth/yr.</v>
      </c>
      <c r="F2299" s="1" cm="1">
        <f t="array" ref="F2299">SUMPRODUCT(([1]OUT_FinalEnergyCons!$B$4:$B$10000="var_ncap")*1, (("SCOM-SHBIOBR"=[1]OUT_FinalEnergyCons!$A$4:$A$10000)*1+("SCOM-SHBNGABR"=[1]OUT_FinalEnergyCons!$A$4:$A$10000)*1),[1]OUT_FinalEnergyCons!D$4:D$10000)</f>
        <v>3.0913718749130901E-7</v>
      </c>
      <c r="G2299" s="1" cm="1">
        <f t="array" ref="G2299">SUMPRODUCT(([1]OUT_FinalEnergyCons!$B$4:$B$10000="var_ncap")*1, (("SCOM-SHBIOBR"=[1]OUT_FinalEnergyCons!$A$4:$A$10000)*1+("SCOM-SHBNGABR"=[1]OUT_FinalEnergyCons!$A$4:$A$10000)*1),[1]OUT_FinalEnergyCons!E$4:E$10000)</f>
        <v>1.1383210432833299E-6</v>
      </c>
      <c r="H2299" s="1" cm="1">
        <f t="array" ref="H2299">SUMPRODUCT(([1]OUT_FinalEnergyCons!$B$4:$B$10000="var_ncap")*1, (("SCOM-SHBIOBR"=[1]OUT_FinalEnergyCons!$A$4:$A$10000)*1+("SCOM-SHBNGABR"=[1]OUT_FinalEnergyCons!$A$4:$A$10000)*1),[1]OUT_FinalEnergyCons!F$4:F$10000)</f>
        <v>3.1065736668161999E-7</v>
      </c>
      <c r="I2299" s="1" cm="1">
        <f t="array" ref="I2299">SUMPRODUCT(([1]OUT_FinalEnergyCons!$B$4:$B$10000="var_ncap")*1, (("SCOM-SHBIOBR"=[1]OUT_FinalEnergyCons!$A$4:$A$10000)*1+("SCOM-SHBNGABR"=[1]OUT_FinalEnergyCons!$A$4:$A$10000)*1),[1]OUT_FinalEnergyCons!G$4:G$10000)</f>
        <v>3.6285640337099798E-7</v>
      </c>
      <c r="J2299" s="1" cm="1">
        <f t="array" ref="J2299">SUMPRODUCT(([1]OUT_FinalEnergyCons!$B$4:$B$10000="var_ncap")*1, (("SCOM-SHBIOBR"=[1]OUT_FinalEnergyCons!$A$4:$A$10000)*1+("SCOM-SHBNGABR"=[1]OUT_FinalEnergyCons!$A$4:$A$10000)*1),[1]OUT_FinalEnergyCons!H$4:H$10000)</f>
        <v>2.03173512494152E-5</v>
      </c>
      <c r="K2299" s="1" cm="1">
        <f t="array" ref="K2299">SUMPRODUCT(([1]OUT_FinalEnergyCons!$B$4:$B$10000="var_ncap")*1, (("SCOM-SHBIOBR"=[1]OUT_FinalEnergyCons!$A$4:$A$10000)*1+("SCOM-SHBNGABR"=[1]OUT_FinalEnergyCons!$A$4:$A$10000)*1),[1]OUT_FinalEnergyCons!I$4:I$10000)</f>
        <v>1.01511312650713E-5</v>
      </c>
    </row>
    <row r="2300" spans="2:11" x14ac:dyDescent="0.35">
      <c r="B2300" s="5" t="str">
        <f t="shared" si="1418"/>
        <v>SPS1</v>
      </c>
      <c r="C2300" s="5" t="str">
        <f t="shared" si="1419"/>
        <v>CH</v>
      </c>
      <c r="D2300" t="s">
        <v>2440</v>
      </c>
      <c r="E2300" t="str">
        <f t="shared" si="1422"/>
        <v>GWth/yr.</v>
      </c>
      <c r="F2300" s="1">
        <f t="shared" ref="F2300:K2300" si="1424">F2301</f>
        <v>3.9576522693383496E-6</v>
      </c>
      <c r="G2300" s="1">
        <f t="shared" si="1424"/>
        <v>5.4981437438565803E-2</v>
      </c>
      <c r="H2300" s="1">
        <f t="shared" si="1424"/>
        <v>6.4668139946588196E-2</v>
      </c>
      <c r="I2300" s="1">
        <f t="shared" si="1424"/>
        <v>6.1681308715537496E-7</v>
      </c>
      <c r="J2300" s="1">
        <f t="shared" si="1424"/>
        <v>0.13747449120938901</v>
      </c>
      <c r="K2300" s="1">
        <f t="shared" si="1424"/>
        <v>0.126107533147026</v>
      </c>
    </row>
    <row r="2301" spans="2:11" x14ac:dyDescent="0.35">
      <c r="B2301" s="5" t="str">
        <f t="shared" si="1418"/>
        <v>SPS1</v>
      </c>
      <c r="C2301" s="5" t="str">
        <f t="shared" si="1419"/>
        <v>CH</v>
      </c>
      <c r="D2301" t="s">
        <v>2441</v>
      </c>
      <c r="E2301" t="str">
        <f t="shared" si="1422"/>
        <v>GWth/yr.</v>
      </c>
      <c r="F2301" s="1" cm="1">
        <f t="array" ref="F2301">SUMPRODUCT(([1]OUT_FinalEnergyCons!$B$4:$B$10000="var_ncap")*1, (ISNUMBER(SEARCH("SCOM-SHWODBR",[1]OUT_FinalEnergyCons!$A$4:$A$10000)))*1,[1]OUT_FinalEnergyCons!D$4:D$10000)</f>
        <v>3.9576522693383496E-6</v>
      </c>
      <c r="G2301" s="1" cm="1">
        <f t="array" ref="G2301">SUMPRODUCT(([1]OUT_FinalEnergyCons!$B$4:$B$10000="var_ncap")*1, (ISNUMBER(SEARCH("SCOM-SHWODBR",[1]OUT_FinalEnergyCons!$A$4:$A$10000)))*1,[1]OUT_FinalEnergyCons!E$4:E$10000)</f>
        <v>5.4981437438565803E-2</v>
      </c>
      <c r="H2301" s="1" cm="1">
        <f t="array" ref="H2301">SUMPRODUCT(([1]OUT_FinalEnergyCons!$B$4:$B$10000="var_ncap")*1, (ISNUMBER(SEARCH("SCOM-SHWODBR",[1]OUT_FinalEnergyCons!$A$4:$A$10000)))*1,[1]OUT_FinalEnergyCons!F$4:F$10000)</f>
        <v>6.4668139946588196E-2</v>
      </c>
      <c r="I2301" s="1" cm="1">
        <f t="array" ref="I2301">SUMPRODUCT(([1]OUT_FinalEnergyCons!$B$4:$B$10000="var_ncap")*1, (ISNUMBER(SEARCH("SCOM-SHWODBR",[1]OUT_FinalEnergyCons!$A$4:$A$10000)))*1,[1]OUT_FinalEnergyCons!G$4:G$10000)</f>
        <v>6.1681308715537496E-7</v>
      </c>
      <c r="J2301" s="1" cm="1">
        <f t="array" ref="J2301">SUMPRODUCT(([1]OUT_FinalEnergyCons!$B$4:$B$10000="var_ncap")*1, (ISNUMBER(SEARCH("SCOM-SHWODBR",[1]OUT_FinalEnergyCons!$A$4:$A$10000)))*1,[1]OUT_FinalEnergyCons!H$4:H$10000)</f>
        <v>0.13747449120938901</v>
      </c>
      <c r="K2301" s="1" cm="1">
        <f t="array" ref="K2301">SUMPRODUCT(([1]OUT_FinalEnergyCons!$B$4:$B$10000="var_ncap")*1, (ISNUMBER(SEARCH("SCOM-SHWODBR",[1]OUT_FinalEnergyCons!$A$4:$A$10000)))*1,[1]OUT_FinalEnergyCons!I$4:I$10000)</f>
        <v>0.126107533147026</v>
      </c>
    </row>
    <row r="2302" spans="2:11" x14ac:dyDescent="0.35">
      <c r="B2302" s="5" t="str">
        <f t="shared" si="1418"/>
        <v>SPS1</v>
      </c>
      <c r="C2302" s="5" t="str">
        <f t="shared" si="1419"/>
        <v>CH</v>
      </c>
      <c r="D2302" t="s">
        <v>2442</v>
      </c>
      <c r="E2302" t="str">
        <f t="shared" si="1422"/>
        <v>GWth/yr.</v>
      </c>
      <c r="F2302" s="1">
        <f t="shared" ref="F2302:K2302" si="1425">F2303</f>
        <v>5.1560463727958003E-7</v>
      </c>
      <c r="G2302" s="1">
        <f t="shared" si="1425"/>
        <v>2.4297448383574401E-2</v>
      </c>
      <c r="H2302" s="1">
        <f t="shared" si="1425"/>
        <v>1.18001715087177E-7</v>
      </c>
      <c r="I2302" s="1">
        <f t="shared" si="1425"/>
        <v>7.5072506225083698E-7</v>
      </c>
      <c r="J2302" s="1">
        <f t="shared" si="1425"/>
        <v>3.8204929791456101E-2</v>
      </c>
      <c r="K2302" s="1">
        <f t="shared" si="1425"/>
        <v>2.3308524274992099E-2</v>
      </c>
    </row>
    <row r="2303" spans="2:11" x14ac:dyDescent="0.35">
      <c r="B2303" s="5" t="str">
        <f t="shared" si="1418"/>
        <v>SPS1</v>
      </c>
      <c r="C2303" s="5" t="str">
        <f t="shared" si="1419"/>
        <v>CH</v>
      </c>
      <c r="D2303" t="s">
        <v>2443</v>
      </c>
      <c r="E2303" t="str">
        <f t="shared" si="1422"/>
        <v>GWth/yr.</v>
      </c>
      <c r="F2303" s="1" cm="1">
        <f t="array" ref="F2303">SUMPRODUCT(([1]OUT_FinalEnergyCons!$B$4:$B$10000="var_ncap")*1,(ISNUMBER(SEARCH("SCOM-SHPLTBR",[1]OUT_FinalEnergyCons!$A$4:$A$10000)))*1,[1]OUT_FinalEnergyCons!D$4:D$10000)</f>
        <v>5.1560463727958003E-7</v>
      </c>
      <c r="G2303" s="1" cm="1">
        <f t="array" ref="G2303">SUMPRODUCT(([1]OUT_FinalEnergyCons!$B$4:$B$10000="var_ncap")*1,(ISNUMBER(SEARCH("SCOM-SHPLTBR",[1]OUT_FinalEnergyCons!$A$4:$A$10000)))*1,[1]OUT_FinalEnergyCons!E$4:E$10000)</f>
        <v>2.4297448383574401E-2</v>
      </c>
      <c r="H2303" s="1" cm="1">
        <f t="array" ref="H2303">SUMPRODUCT(([1]OUT_FinalEnergyCons!$B$4:$B$10000="var_ncap")*1,(ISNUMBER(SEARCH("SCOM-SHPLTBR",[1]OUT_FinalEnergyCons!$A$4:$A$10000)))*1,[1]OUT_FinalEnergyCons!F$4:F$10000)</f>
        <v>1.18001715087177E-7</v>
      </c>
      <c r="I2303" s="1" cm="1">
        <f t="array" ref="I2303">SUMPRODUCT(([1]OUT_FinalEnergyCons!$B$4:$B$10000="var_ncap")*1,(ISNUMBER(SEARCH("SCOM-SHPLTBR",[1]OUT_FinalEnergyCons!$A$4:$A$10000)))*1,[1]OUT_FinalEnergyCons!G$4:G$10000)</f>
        <v>7.5072506225083698E-7</v>
      </c>
      <c r="J2303" s="1" cm="1">
        <f t="array" ref="J2303">SUMPRODUCT(([1]OUT_FinalEnergyCons!$B$4:$B$10000="var_ncap")*1,(ISNUMBER(SEARCH("SCOM-SHPLTBR",[1]OUT_FinalEnergyCons!$A$4:$A$10000)))*1,[1]OUT_FinalEnergyCons!H$4:H$10000)</f>
        <v>3.8204929791456101E-2</v>
      </c>
      <c r="K2303" s="1" cm="1">
        <f t="array" ref="K2303">SUMPRODUCT(([1]OUT_FinalEnergyCons!$B$4:$B$10000="var_ncap")*1,(ISNUMBER(SEARCH("SCOM-SHPLTBR",[1]OUT_FinalEnergyCons!$A$4:$A$10000)))*1,[1]OUT_FinalEnergyCons!I$4:I$10000)</f>
        <v>2.3308524274992099E-2</v>
      </c>
    </row>
    <row r="2304" spans="2:11" x14ac:dyDescent="0.35">
      <c r="B2304" s="5" t="str">
        <f t="shared" si="1418"/>
        <v>SPS1</v>
      </c>
      <c r="C2304" s="5" t="str">
        <f t="shared" si="1419"/>
        <v>CH</v>
      </c>
      <c r="D2304" t="s">
        <v>2444</v>
      </c>
      <c r="E2304" t="str">
        <f t="shared" si="1422"/>
        <v>GWth/yr.</v>
      </c>
      <c r="F2304" s="1">
        <f t="shared" ref="F2304:K2304" si="1426">F2305</f>
        <v>9.2940689393354494E-6</v>
      </c>
      <c r="G2304" s="1">
        <f t="shared" si="1426"/>
        <v>8.7615164371959292E-3</v>
      </c>
      <c r="H2304" s="1">
        <f t="shared" si="1426"/>
        <v>5.0095672202772103E-7</v>
      </c>
      <c r="I2304" s="1">
        <f t="shared" si="1426"/>
        <v>1.27313949890164E-2</v>
      </c>
      <c r="J2304" s="1">
        <f t="shared" si="1426"/>
        <v>6.5646878428384001E-2</v>
      </c>
      <c r="K2304" s="1">
        <f t="shared" si="1426"/>
        <v>0.109788864432315</v>
      </c>
    </row>
    <row r="2305" spans="2:11" x14ac:dyDescent="0.35">
      <c r="B2305" s="5" t="str">
        <f t="shared" si="1418"/>
        <v>SPS1</v>
      </c>
      <c r="C2305" s="5" t="str">
        <f t="shared" si="1419"/>
        <v>CH</v>
      </c>
      <c r="D2305" t="s">
        <v>2445</v>
      </c>
      <c r="E2305" t="str">
        <f t="shared" si="1422"/>
        <v>GWth/yr.</v>
      </c>
      <c r="F2305" s="1" cm="1">
        <f t="array" ref="F2305">SUMPRODUCT(([1]OUT_FinalEnergyCons!$B$4:$B$10000="var_ncap")*1, (ISNUMBER(SEARCH("SCOM-SHSOLBR",[1]OUT_FinalEnergyCons!$A$4:$A$10000)))*1,[1]OUT_FinalEnergyCons!D$4:D$10000)</f>
        <v>9.2940689393354494E-6</v>
      </c>
      <c r="G2305" s="1" cm="1">
        <f t="array" ref="G2305">SUMPRODUCT(([1]OUT_FinalEnergyCons!$B$4:$B$10000="var_ncap")*1, (ISNUMBER(SEARCH("SCOM-SHSOLBR",[1]OUT_FinalEnergyCons!$A$4:$A$10000)))*1,[1]OUT_FinalEnergyCons!E$4:E$10000)</f>
        <v>8.7615164371959292E-3</v>
      </c>
      <c r="H2305" s="1" cm="1">
        <f t="array" ref="H2305">SUMPRODUCT(([1]OUT_FinalEnergyCons!$B$4:$B$10000="var_ncap")*1, (ISNUMBER(SEARCH("SCOM-SHSOLBR",[1]OUT_FinalEnergyCons!$A$4:$A$10000)))*1,[1]OUT_FinalEnergyCons!F$4:F$10000)</f>
        <v>5.0095672202772103E-7</v>
      </c>
      <c r="I2305" s="1" cm="1">
        <f t="array" ref="I2305">SUMPRODUCT(([1]OUT_FinalEnergyCons!$B$4:$B$10000="var_ncap")*1, (ISNUMBER(SEARCH("SCOM-SHSOLBR",[1]OUT_FinalEnergyCons!$A$4:$A$10000)))*1,[1]OUT_FinalEnergyCons!G$4:G$10000)</f>
        <v>1.27313949890164E-2</v>
      </c>
      <c r="J2305" s="1" cm="1">
        <f t="array" ref="J2305">SUMPRODUCT(([1]OUT_FinalEnergyCons!$B$4:$B$10000="var_ncap")*1, (ISNUMBER(SEARCH("SCOM-SHSOLBR",[1]OUT_FinalEnergyCons!$A$4:$A$10000)))*1,[1]OUT_FinalEnergyCons!H$4:H$10000)</f>
        <v>6.5646878428384001E-2</v>
      </c>
      <c r="K2305" s="1" cm="1">
        <f t="array" ref="K2305">SUMPRODUCT(([1]OUT_FinalEnergyCons!$B$4:$B$10000="var_ncap")*1, (ISNUMBER(SEARCH("SCOM-SHSOLBR",[1]OUT_FinalEnergyCons!$A$4:$A$10000)))*1,[1]OUT_FinalEnergyCons!I$4:I$10000)</f>
        <v>0.109788864432315</v>
      </c>
    </row>
    <row r="2306" spans="2:11" x14ac:dyDescent="0.35">
      <c r="B2306" s="5" t="str">
        <f t="shared" si="1418"/>
        <v>SPS1</v>
      </c>
      <c r="C2306" s="5" t="str">
        <f t="shared" si="1419"/>
        <v>CH</v>
      </c>
      <c r="D2306" t="s">
        <v>2446</v>
      </c>
      <c r="E2306" t="str">
        <f t="shared" si="1422"/>
        <v>GWth/yr.</v>
      </c>
      <c r="F2306" s="1">
        <f t="shared" ref="F2306:K2306" si="1427">F2307</f>
        <v>0</v>
      </c>
      <c r="G2306" s="1">
        <f t="shared" si="1427"/>
        <v>0</v>
      </c>
      <c r="H2306" s="1">
        <f t="shared" si="1427"/>
        <v>0</v>
      </c>
      <c r="I2306" s="1">
        <f t="shared" si="1427"/>
        <v>4.2637754997660902E-7</v>
      </c>
      <c r="J2306" s="1">
        <f t="shared" si="1427"/>
        <v>0.51234074402733998</v>
      </c>
      <c r="K2306" s="1">
        <f t="shared" si="1427"/>
        <v>0.64624569452743597</v>
      </c>
    </row>
    <row r="2307" spans="2:11" x14ac:dyDescent="0.35">
      <c r="B2307" s="5" t="str">
        <f t="shared" si="1418"/>
        <v>SPS1</v>
      </c>
      <c r="C2307" s="5" t="str">
        <f t="shared" si="1419"/>
        <v>CH</v>
      </c>
      <c r="D2307" t="s">
        <v>2447</v>
      </c>
      <c r="E2307" t="str">
        <f t="shared" si="1422"/>
        <v>GWth/yr.</v>
      </c>
      <c r="F2307" s="1" cm="1">
        <f t="array" ref="F2307">SUMPRODUCT(([1]OUT_FinalEnergyCons!$B$4:$B$10000="var_ncap")*1, (ISNUMBER(SEARCH("SCOM-SHH2BR",[1]OUT_FinalEnergyCons!$A$4:$A$10000)))*1,[1]OUT_FinalEnergyCons!D$4:D$10000)</f>
        <v>0</v>
      </c>
      <c r="G2307" s="1" cm="1">
        <f t="array" ref="G2307">SUMPRODUCT(([1]OUT_FinalEnergyCons!$B$4:$B$10000="var_ncap")*1, (ISNUMBER(SEARCH("SCOM-SHH2BR",[1]OUT_FinalEnergyCons!$A$4:$A$10000)))*1,[1]OUT_FinalEnergyCons!E$4:E$10000)</f>
        <v>0</v>
      </c>
      <c r="H2307" s="1" cm="1">
        <f t="array" ref="H2307">SUMPRODUCT(([1]OUT_FinalEnergyCons!$B$4:$B$10000="var_ncap")*1, (ISNUMBER(SEARCH("SCOM-SHH2BR",[1]OUT_FinalEnergyCons!$A$4:$A$10000)))*1,[1]OUT_FinalEnergyCons!F$4:F$10000)</f>
        <v>0</v>
      </c>
      <c r="I2307" s="1" cm="1">
        <f t="array" ref="I2307">SUMPRODUCT(([1]OUT_FinalEnergyCons!$B$4:$B$10000="var_ncap")*1, (ISNUMBER(SEARCH("SCOM-SHH2BR",[1]OUT_FinalEnergyCons!$A$4:$A$10000)))*1,[1]OUT_FinalEnergyCons!G$4:G$10000)</f>
        <v>4.2637754997660902E-7</v>
      </c>
      <c r="J2307" s="1" cm="1">
        <f t="array" ref="J2307">SUMPRODUCT(([1]OUT_FinalEnergyCons!$B$4:$B$10000="var_ncap")*1, (ISNUMBER(SEARCH("SCOM-SHH2BR",[1]OUT_FinalEnergyCons!$A$4:$A$10000)))*1,[1]OUT_FinalEnergyCons!H$4:H$10000)</f>
        <v>0.51234074402733998</v>
      </c>
      <c r="K2307" s="1" cm="1">
        <f t="array" ref="K2307">SUMPRODUCT(([1]OUT_FinalEnergyCons!$B$4:$B$10000="var_ncap")*1, (ISNUMBER(SEARCH("SCOM-SHH2BR",[1]OUT_FinalEnergyCons!$A$4:$A$10000)))*1,[1]OUT_FinalEnergyCons!I$4:I$10000)</f>
        <v>0.64624569452743597</v>
      </c>
    </row>
    <row r="2308" spans="2:11" x14ac:dyDescent="0.35">
      <c r="B2308" s="5" t="str">
        <f>'SPS1'!B2016</f>
        <v>SPS1</v>
      </c>
      <c r="C2308" s="5" t="str">
        <f>'SPS1'!C2016</f>
        <v>CH</v>
      </c>
      <c r="D2308" s="2" t="s">
        <v>2449</v>
      </c>
      <c r="E2308" s="2" t="s">
        <v>2155</v>
      </c>
      <c r="F2308" s="3">
        <f t="shared" ref="F2308:K2308" si="1428">SUM(F2309,F2313,F2316)</f>
        <v>2.3082175037334601E-4</v>
      </c>
      <c r="G2308" s="3">
        <f t="shared" si="1428"/>
        <v>9.9078356365409298E-5</v>
      </c>
      <c r="H2308" s="3">
        <f t="shared" si="1428"/>
        <v>7.7958322532535498E-5</v>
      </c>
      <c r="I2308" s="3">
        <f t="shared" si="1428"/>
        <v>1.0606543605267403E-3</v>
      </c>
      <c r="J2308" s="3">
        <f t="shared" si="1428"/>
        <v>0.36520420539792775</v>
      </c>
      <c r="K2308" s="3">
        <f t="shared" si="1428"/>
        <v>1.2558626143973652</v>
      </c>
    </row>
    <row r="2309" spans="2:11" x14ac:dyDescent="0.35">
      <c r="B2309" s="5" t="str">
        <f t="shared" ref="B2309:B2335" si="1429">B2308</f>
        <v>SPS1</v>
      </c>
      <c r="C2309" s="5" t="str">
        <f t="shared" ref="C2309:C2335" si="1430">C2308</f>
        <v>CH</v>
      </c>
      <c r="D2309" t="s">
        <v>2450</v>
      </c>
      <c r="E2309" t="s">
        <v>2155</v>
      </c>
      <c r="F2309" s="1" cm="1">
        <f t="array" ref="F2309">SUMPRODUCT(ISNUMBER(SEARCH("SUP_ELCH2*",[1]OUT_SyntheticFuels!$C$4:$C$1000))*1,("var_ncap"=[1]OUT_SyntheticFuels!$B$4:$B$1000)*1,[1]OUT_SyntheticFuels!E$4:E$1000)</f>
        <v>2.3082175037334601E-4</v>
      </c>
      <c r="G2309" s="1" cm="1">
        <f t="array" ref="G2309">SUMPRODUCT(ISNUMBER(SEARCH("SUP_ELCH2*",[1]OUT_SyntheticFuels!$C$4:$C$1000))*1,("var_ncap"=[1]OUT_SyntheticFuels!$B$4:$B$1000)*1,[1]OUT_SyntheticFuels!F$4:F$1000)</f>
        <v>9.9078356365409298E-5</v>
      </c>
      <c r="H2309" s="1" cm="1">
        <f t="array" ref="H2309">SUMPRODUCT(ISNUMBER(SEARCH("SUP_ELCH2*",[1]OUT_SyntheticFuels!$C$4:$C$1000))*1,("var_ncap"=[1]OUT_SyntheticFuels!$B$4:$B$1000)*1,[1]OUT_SyntheticFuels!G$4:G$1000)</f>
        <v>7.7958322532535498E-5</v>
      </c>
      <c r="I2309" s="1" cm="1">
        <f t="array" ref="I2309">SUMPRODUCT(ISNUMBER(SEARCH("SUP_ELCH2*",[1]OUT_SyntheticFuels!$C$4:$C$1000))*1,("var_ncap"=[1]OUT_SyntheticFuels!$B$4:$B$1000)*1,[1]OUT_SyntheticFuels!H$4:H$1000)</f>
        <v>1.0604562375919966E-3</v>
      </c>
      <c r="J2309" s="1" cm="1">
        <f t="array" ref="J2309">SUMPRODUCT(ISNUMBER(SEARCH("SUP_ELCH2*",[1]OUT_SyntheticFuels!$C$4:$C$1000))*1,("var_ncap"=[1]OUT_SyntheticFuels!$B$4:$B$1000)*1,[1]OUT_SyntheticFuels!I$4:I$1000)</f>
        <v>0.36520334309323388</v>
      </c>
      <c r="K2309" s="1" cm="1">
        <f t="array" ref="K2309">SUMPRODUCT(ISNUMBER(SEARCH("SUP_ELCH2*",[1]OUT_SyntheticFuels!$C$4:$C$1000))*1,("var_ncap"=[1]OUT_SyntheticFuels!$B$4:$B$1000)*1,[1]OUT_SyntheticFuels!J$4:J$1000)</f>
        <v>1.0158415500199505</v>
      </c>
    </row>
    <row r="2310" spans="2:11" x14ac:dyDescent="0.35">
      <c r="B2310" s="5" t="str">
        <f t="shared" si="1429"/>
        <v>SPS1</v>
      </c>
      <c r="C2310" s="5" t="str">
        <f t="shared" si="1430"/>
        <v>CH</v>
      </c>
      <c r="D2310" t="s">
        <v>2451</v>
      </c>
      <c r="E2310" t="s">
        <v>2155</v>
      </c>
      <c r="F2310" s="1">
        <f t="shared" ref="F2310:K2310" si="1431">F2309-F2311-F2312</f>
        <v>2.3082175037334601E-4</v>
      </c>
      <c r="G2310" s="1">
        <f t="shared" si="1431"/>
        <v>9.9078356365409298E-5</v>
      </c>
      <c r="H2310" s="1">
        <f t="shared" si="1431"/>
        <v>7.7958322532535498E-5</v>
      </c>
      <c r="I2310" s="1">
        <f t="shared" si="1431"/>
        <v>1.05705713812116E-3</v>
      </c>
      <c r="J2310" s="1">
        <f t="shared" si="1431"/>
        <v>0.24843446257832394</v>
      </c>
      <c r="K2310" s="1">
        <f t="shared" si="1431"/>
        <v>0.96975598269059116</v>
      </c>
    </row>
    <row r="2311" spans="2:11" x14ac:dyDescent="0.35">
      <c r="B2311" s="5" t="str">
        <f t="shared" si="1429"/>
        <v>SPS1</v>
      </c>
      <c r="C2311" s="5" t="str">
        <f t="shared" si="1430"/>
        <v>CH</v>
      </c>
      <c r="D2311" t="s">
        <v>2452</v>
      </c>
      <c r="E2311" t="s">
        <v>2155</v>
      </c>
      <c r="F2311" s="1" cm="1">
        <f t="array" ref="F2311">SUMPRODUCT(ISNUMBER(SEARCH("SUP_ELCH2*D",[1]OUT_SyntheticFuels!$C$4:$C$1000))*1,("var_ncap"=[1]OUT_SyntheticFuels!$B$4:$B$1000)*1,[1]OUT_SyntheticFuels!E$4:E$1000)</f>
        <v>0</v>
      </c>
      <c r="G2311" s="1" cm="1">
        <f t="array" ref="G2311">SUMPRODUCT(ISNUMBER(SEARCH("SUP_ELCH2*D",[1]OUT_SyntheticFuels!$C$4:$C$1000))*1,("var_ncap"=[1]OUT_SyntheticFuels!$B$4:$B$1000)*1,[1]OUT_SyntheticFuels!F$4:F$1000)</f>
        <v>0</v>
      </c>
      <c r="H2311" s="1" cm="1">
        <f t="array" ref="H2311">SUMPRODUCT(ISNUMBER(SEARCH("SUP_ELCH2*D",[1]OUT_SyntheticFuels!$C$4:$C$1000))*1,("var_ncap"=[1]OUT_SyntheticFuels!$B$4:$B$1000)*1,[1]OUT_SyntheticFuels!G$4:G$1000)</f>
        <v>0</v>
      </c>
      <c r="I2311" s="1" cm="1">
        <f t="array" ref="I2311">SUMPRODUCT(ISNUMBER(SEARCH("SUP_ELCH2*D",[1]OUT_SyntheticFuels!$C$4:$C$1000))*1,("var_ncap"=[1]OUT_SyntheticFuels!$B$4:$B$1000)*1,[1]OUT_SyntheticFuels!H$4:H$1000)</f>
        <v>3.3990994708365702E-6</v>
      </c>
      <c r="J2311" s="1" cm="1">
        <f t="array" ref="J2311">SUMPRODUCT(ISNUMBER(SEARCH("SUP_ELCH2*D",[1]OUT_SyntheticFuels!$C$4:$C$1000))*1,("var_ncap"=[1]OUT_SyntheticFuels!$B$4:$B$1000)*1,[1]OUT_SyntheticFuels!I$4:I$1000)</f>
        <v>0.11658828032722</v>
      </c>
      <c r="K2311" s="1" cm="1">
        <f t="array" ref="K2311">SUMPRODUCT(ISNUMBER(SEARCH("SUP_ELCH2*D",[1]OUT_SyntheticFuels!$C$4:$C$1000))*1,("var_ncap"=[1]OUT_SyntheticFuels!$B$4:$B$1000)*1,[1]OUT_SyntheticFuels!J$4:J$1000)</f>
        <v>4.5990325022116099E-2</v>
      </c>
    </row>
    <row r="2312" spans="2:11" x14ac:dyDescent="0.35">
      <c r="B2312" s="5" t="str">
        <f t="shared" si="1429"/>
        <v>SPS1</v>
      </c>
      <c r="C2312" s="5" t="str">
        <f t="shared" si="1430"/>
        <v>CH</v>
      </c>
      <c r="D2312" t="s">
        <v>2453</v>
      </c>
      <c r="E2312" t="s">
        <v>2155</v>
      </c>
      <c r="F2312" s="1" cm="1">
        <f t="array" ref="F2312">SUMPRODUCT(ISNUMBER(SEARCH("SUP_ELCH2*SOEC*",[1]OUT_SyntheticFuels!$C$4:$C$1000))*1,("var_ncap"=[1]OUT_SyntheticFuels!$B$4:$B$1000)*1,[1]OUT_SyntheticFuels!E$4:E$1000)</f>
        <v>0</v>
      </c>
      <c r="G2312" s="1" cm="1">
        <f t="array" ref="G2312">SUMPRODUCT(ISNUMBER(SEARCH("SUP_ELCH2*SOEC*",[1]OUT_SyntheticFuels!$C$4:$C$1000))*1,("var_ncap"=[1]OUT_SyntheticFuels!$B$4:$B$1000)*1,[1]OUT_SyntheticFuels!F$4:F$1000)</f>
        <v>0</v>
      </c>
      <c r="H2312" s="1" cm="1">
        <f t="array" ref="H2312">SUMPRODUCT(ISNUMBER(SEARCH("SUP_ELCH2*SOEC*",[1]OUT_SyntheticFuels!$C$4:$C$1000))*1,("var_ncap"=[1]OUT_SyntheticFuels!$B$4:$B$1000)*1,[1]OUT_SyntheticFuels!G$4:G$1000)</f>
        <v>0</v>
      </c>
      <c r="I2312" s="1" cm="1">
        <f t="array" ref="I2312">SUMPRODUCT(ISNUMBER(SEARCH("SUP_ELCH2*SOEC*",[1]OUT_SyntheticFuels!$C$4:$C$1000))*1,("var_ncap"=[1]OUT_SyntheticFuels!$B$4:$B$1000)*1,[1]OUT_SyntheticFuels!H$4:H$1000)</f>
        <v>0</v>
      </c>
      <c r="J2312" s="1" cm="1">
        <f t="array" ref="J2312">SUMPRODUCT(ISNUMBER(SEARCH("SUP_ELCH2*SOEC*",[1]OUT_SyntheticFuels!$C$4:$C$1000))*1,("var_ncap"=[1]OUT_SyntheticFuels!$B$4:$B$1000)*1,[1]OUT_SyntheticFuels!I$4:I$1000)</f>
        <v>1.8060018768991401E-4</v>
      </c>
      <c r="K2312" s="1" cm="1">
        <f t="array" ref="K2312">SUMPRODUCT(ISNUMBER(SEARCH("SUP_ELCH2*SOEC*",[1]OUT_SyntheticFuels!$C$4:$C$1000))*1,("var_ncap"=[1]OUT_SyntheticFuels!$B$4:$B$1000)*1,[1]OUT_SyntheticFuels!J$4:J$1000)</f>
        <v>9.5242307243232396E-5</v>
      </c>
    </row>
    <row r="2313" spans="2:11" x14ac:dyDescent="0.35">
      <c r="B2313" s="5" t="str">
        <f t="shared" si="1429"/>
        <v>SPS1</v>
      </c>
      <c r="C2313" s="5" t="str">
        <f t="shared" si="1430"/>
        <v>CH</v>
      </c>
      <c r="D2313" t="s">
        <v>2454</v>
      </c>
      <c r="E2313" t="s">
        <v>2155</v>
      </c>
      <c r="F2313" s="1">
        <f t="shared" ref="F2313:K2313" si="1432">SUM(F2314:F2315)</f>
        <v>0</v>
      </c>
      <c r="G2313" s="1">
        <f t="shared" si="1432"/>
        <v>0</v>
      </c>
      <c r="H2313" s="1">
        <f t="shared" si="1432"/>
        <v>0</v>
      </c>
      <c r="I2313" s="1">
        <f t="shared" si="1432"/>
        <v>1.98122934743707E-7</v>
      </c>
      <c r="J2313" s="1">
        <f t="shared" si="1432"/>
        <v>8.6230469387768004E-7</v>
      </c>
      <c r="K2313" s="1">
        <f t="shared" si="1432"/>
        <v>8.7187566346461631E-3</v>
      </c>
    </row>
    <row r="2314" spans="2:11" x14ac:dyDescent="0.35">
      <c r="B2314" s="5" t="str">
        <f t="shared" si="1429"/>
        <v>SPS1</v>
      </c>
      <c r="C2314" s="5" t="str">
        <f t="shared" si="1430"/>
        <v>CH</v>
      </c>
      <c r="D2314" t="s">
        <v>2455</v>
      </c>
      <c r="E2314" t="s">
        <v>2155</v>
      </c>
      <c r="F2314" s="1" cm="1">
        <f t="array" ref="F2314">SUMPRODUCT(ISNUMBER(SEARCH("SUP_NGAH2",[1]OUT_SyntheticFuels!$C$4:$C$1000))*1,("var_ncap"=[1]OUT_SyntheticFuels!$B$4:$B$1000)*1,[1]OUT_SyntheticFuels!E$4:E$1000)-F2315</f>
        <v>0</v>
      </c>
      <c r="G2314" s="1" cm="1">
        <f t="array" ref="G2314">SUMPRODUCT(ISNUMBER(SEARCH("SUP_NGAH2",[1]OUT_SyntheticFuels!$C$4:$C$1000))*1,("var_ncap"=[1]OUT_SyntheticFuels!$B$4:$B$1000)*1,[1]OUT_SyntheticFuels!F$4:F$1000)-G2315</f>
        <v>0</v>
      </c>
      <c r="H2314" s="1" cm="1">
        <f t="array" ref="H2314">SUMPRODUCT(ISNUMBER(SEARCH("SUP_NGAH2",[1]OUT_SyntheticFuels!$C$4:$C$1000))*1,("var_ncap"=[1]OUT_SyntheticFuels!$B$4:$B$1000)*1,[1]OUT_SyntheticFuels!G$4:G$1000)-H2315</f>
        <v>0</v>
      </c>
      <c r="I2314" s="1" cm="1">
        <f t="array" ref="I2314">SUMPRODUCT(ISNUMBER(SEARCH("SUP_NGAH2",[1]OUT_SyntheticFuels!$C$4:$C$1000))*1,("var_ncap"=[1]OUT_SyntheticFuels!$B$4:$B$1000)*1,[1]OUT_SyntheticFuels!H$4:H$1000)-I2315</f>
        <v>1.98122934743707E-7</v>
      </c>
      <c r="J2314" s="1" cm="1">
        <f t="array" ref="J2314">SUMPRODUCT(ISNUMBER(SEARCH("SUP_NGAH2",[1]OUT_SyntheticFuels!$C$4:$C$1000))*1,("var_ncap"=[1]OUT_SyntheticFuels!$B$4:$B$1000)*1,[1]OUT_SyntheticFuels!I$4:I$1000)-J2315</f>
        <v>5.7922626110452511E-7</v>
      </c>
      <c r="K2314" s="1" cm="1">
        <f t="array" ref="K2314">SUMPRODUCT(ISNUMBER(SEARCH("SUP_NGAH2",[1]OUT_SyntheticFuels!$C$4:$C$1000))*1,("var_ncap"=[1]OUT_SyntheticFuels!$B$4:$B$1000)*1,[1]OUT_SyntheticFuels!J$4:J$1000)-K2315</f>
        <v>5.597472144665272E-5</v>
      </c>
    </row>
    <row r="2315" spans="2:11" x14ac:dyDescent="0.35">
      <c r="B2315" s="5" t="str">
        <f t="shared" si="1429"/>
        <v>SPS1</v>
      </c>
      <c r="C2315" s="5" t="str">
        <f t="shared" si="1430"/>
        <v>CH</v>
      </c>
      <c r="D2315" t="s">
        <v>2456</v>
      </c>
      <c r="E2315" t="s">
        <v>2155</v>
      </c>
      <c r="F2315" s="1" cm="1">
        <f t="array" ref="F2315">SUMPRODUCT(ISNUMBER(SEARCH("SUP_NGAH2CCS",[1]OUT_SyntheticFuels!$C$4:$C$1000))*1,("var_ncap"=[1]OUT_SyntheticFuels!$B$4:$B$1000)*1,[1]OUT_SyntheticFuels!E$4:E$1000)</f>
        <v>0</v>
      </c>
      <c r="G2315" s="1" cm="1">
        <f t="array" ref="G2315">SUMPRODUCT(ISNUMBER(SEARCH("SUP_NGAH2CCS",[1]OUT_SyntheticFuels!$C$4:$C$1000))*1,("var_ncap"=[1]OUT_SyntheticFuels!$B$4:$B$1000)*1,[1]OUT_SyntheticFuels!F$4:F$1000)</f>
        <v>0</v>
      </c>
      <c r="H2315" s="1" cm="1">
        <f t="array" ref="H2315">SUMPRODUCT(ISNUMBER(SEARCH("SUP_NGAH2CCS",[1]OUT_SyntheticFuels!$C$4:$C$1000))*1,("var_ncap"=[1]OUT_SyntheticFuels!$B$4:$B$1000)*1,[1]OUT_SyntheticFuels!G$4:G$1000)</f>
        <v>0</v>
      </c>
      <c r="I2315" s="1" cm="1">
        <f t="array" ref="I2315">SUMPRODUCT(ISNUMBER(SEARCH("SUP_NGAH2CCS",[1]OUT_SyntheticFuels!$C$4:$C$1000))*1,("var_ncap"=[1]OUT_SyntheticFuels!$B$4:$B$1000)*1,[1]OUT_SyntheticFuels!H$4:H$1000)</f>
        <v>0</v>
      </c>
      <c r="J2315" s="1" cm="1">
        <f t="array" ref="J2315">SUMPRODUCT(ISNUMBER(SEARCH("SUP_NGAH2CCS",[1]OUT_SyntheticFuels!$C$4:$C$1000))*1,("var_ncap"=[1]OUT_SyntheticFuels!$B$4:$B$1000)*1,[1]OUT_SyntheticFuels!I$4:I$1000)</f>
        <v>2.8307843277315499E-7</v>
      </c>
      <c r="K2315" s="1" cm="1">
        <f t="array" ref="K2315">SUMPRODUCT(ISNUMBER(SEARCH("SUP_NGAH2CCS",[1]OUT_SyntheticFuels!$C$4:$C$1000))*1,("var_ncap"=[1]OUT_SyntheticFuels!$B$4:$B$1000)*1,[1]OUT_SyntheticFuels!J$4:J$1000)</f>
        <v>8.6627819131995104E-3</v>
      </c>
    </row>
    <row r="2316" spans="2:11" x14ac:dyDescent="0.35">
      <c r="B2316" s="5" t="str">
        <f t="shared" si="1429"/>
        <v>SPS1</v>
      </c>
      <c r="C2316" s="5" t="str">
        <f t="shared" si="1430"/>
        <v>CH</v>
      </c>
      <c r="D2316" t="s">
        <v>2457</v>
      </c>
      <c r="E2316" t="s">
        <v>2155</v>
      </c>
      <c r="F2316" s="1">
        <f t="shared" ref="F2316:K2316" si="1433">SUM(F2317:F2318)</f>
        <v>0</v>
      </c>
      <c r="G2316" s="1">
        <f t="shared" si="1433"/>
        <v>0</v>
      </c>
      <c r="H2316" s="1">
        <f t="shared" si="1433"/>
        <v>0</v>
      </c>
      <c r="I2316" s="1">
        <f t="shared" si="1433"/>
        <v>0</v>
      </c>
      <c r="J2316" s="1">
        <f t="shared" si="1433"/>
        <v>0</v>
      </c>
      <c r="K2316" s="1">
        <f t="shared" si="1433"/>
        <v>0.2313023077427688</v>
      </c>
    </row>
    <row r="2317" spans="2:11" x14ac:dyDescent="0.35">
      <c r="B2317" s="5" t="str">
        <f t="shared" si="1429"/>
        <v>SPS1</v>
      </c>
      <c r="C2317" s="5" t="str">
        <f t="shared" si="1430"/>
        <v>CH</v>
      </c>
      <c r="D2317" t="s">
        <v>2458</v>
      </c>
      <c r="E2317" t="s">
        <v>2155</v>
      </c>
      <c r="F2317" s="1" cm="1">
        <f t="array" ref="F2317">SUMPRODUCT(ISNUMBER(SEARCH("SUP_WODH2",[1]OUT_SyntheticFuels!$C$4:$C$1000))*1,("var_ncap"=[1]OUT_SyntheticFuels!$B$4:$B$1000)*1,[1]OUT_SyntheticFuels!E$4:E$1000)-F2318</f>
        <v>0</v>
      </c>
      <c r="G2317" s="1" cm="1">
        <f t="array" ref="G2317">SUMPRODUCT(ISNUMBER(SEARCH("SUP_WODH2",[1]OUT_SyntheticFuels!$C$4:$C$1000))*1,("var_ncap"=[1]OUT_SyntheticFuels!$B$4:$B$1000)*1,[1]OUT_SyntheticFuels!F$4:F$1000)-G2318</f>
        <v>0</v>
      </c>
      <c r="H2317" s="1" cm="1">
        <f t="array" ref="H2317">SUMPRODUCT(ISNUMBER(SEARCH("SUP_WODH2",[1]OUT_SyntheticFuels!$C$4:$C$1000))*1,("var_ncap"=[1]OUT_SyntheticFuels!$B$4:$B$1000)*1,[1]OUT_SyntheticFuels!G$4:G$1000)-H2318</f>
        <v>0</v>
      </c>
      <c r="I2317" s="1" cm="1">
        <f t="array" ref="I2317">SUMPRODUCT(ISNUMBER(SEARCH("SUP_WODH2",[1]OUT_SyntheticFuels!$C$4:$C$1000))*1,("var_ncap"=[1]OUT_SyntheticFuels!$B$4:$B$1000)*1,[1]OUT_SyntheticFuels!H$4:H$1000)-I2318</f>
        <v>0</v>
      </c>
      <c r="J2317" s="1" cm="1">
        <f t="array" ref="J2317">SUMPRODUCT(ISNUMBER(SEARCH("SUP_WODH2",[1]OUT_SyntheticFuels!$C$4:$C$1000))*1,("var_ncap"=[1]OUT_SyntheticFuels!$B$4:$B$1000)*1,[1]OUT_SyntheticFuels!I$4:I$1000)-J2318</f>
        <v>0</v>
      </c>
      <c r="K2317" s="1" cm="1">
        <f t="array" ref="K2317">SUMPRODUCT(ISNUMBER(SEARCH("SUP_WODH2",[1]OUT_SyntheticFuels!$C$4:$C$1000))*1,("var_ncap"=[1]OUT_SyntheticFuels!$B$4:$B$1000)*1,[1]OUT_SyntheticFuels!J$4:J$1000)-K2318</f>
        <v>1.4206033518815442E-5</v>
      </c>
    </row>
    <row r="2318" spans="2:11" x14ac:dyDescent="0.35">
      <c r="B2318" s="5" t="str">
        <f t="shared" si="1429"/>
        <v>SPS1</v>
      </c>
      <c r="C2318" s="5" t="str">
        <f t="shared" si="1430"/>
        <v>CH</v>
      </c>
      <c r="D2318" t="s">
        <v>2459</v>
      </c>
      <c r="E2318" t="s">
        <v>2155</v>
      </c>
      <c r="F2318" s="1" cm="1">
        <f t="array" ref="F2318">SUMPRODUCT(ISNUMBER(SEARCH("SUP_WODH2CCS",[1]OUT_SyntheticFuels!$C$4:$C$1000))*1,("var_ncap"=[1]OUT_SyntheticFuels!$B$4:$B$1000)*1,[1]OUT_SyntheticFuels!E$4:E$1000)</f>
        <v>0</v>
      </c>
      <c r="G2318" s="1" cm="1">
        <f t="array" ref="G2318">SUMPRODUCT(ISNUMBER(SEARCH("SUP_WODH2CCS",[1]OUT_SyntheticFuels!$C$4:$C$1000))*1,("var_ncap"=[1]OUT_SyntheticFuels!$B$4:$B$1000)*1,[1]OUT_SyntheticFuels!F$4:F$1000)</f>
        <v>0</v>
      </c>
      <c r="H2318" s="1" cm="1">
        <f t="array" ref="H2318">SUMPRODUCT(ISNUMBER(SEARCH("SUP_WODH2CCS",[1]OUT_SyntheticFuels!$C$4:$C$1000))*1,("var_ncap"=[1]OUT_SyntheticFuels!$B$4:$B$1000)*1,[1]OUT_SyntheticFuels!G$4:G$1000)</f>
        <v>0</v>
      </c>
      <c r="I2318" s="1" cm="1">
        <f t="array" ref="I2318">SUMPRODUCT(ISNUMBER(SEARCH("SUP_WODH2CCS",[1]OUT_SyntheticFuels!$C$4:$C$1000))*1,("var_ncap"=[1]OUT_SyntheticFuels!$B$4:$B$1000)*1,[1]OUT_SyntheticFuels!H$4:H$1000)</f>
        <v>0</v>
      </c>
      <c r="J2318" s="1" cm="1">
        <f t="array" ref="J2318">SUMPRODUCT(ISNUMBER(SEARCH("SUP_WODH2CCS",[1]OUT_SyntheticFuels!$C$4:$C$1000))*1,("var_ncap"=[1]OUT_SyntheticFuels!$B$4:$B$1000)*1,[1]OUT_SyntheticFuels!I$4:I$1000)</f>
        <v>0</v>
      </c>
      <c r="K2318" s="1" cm="1">
        <f t="array" ref="K2318">SUMPRODUCT(ISNUMBER(SEARCH("SUP_WODH2CCS",[1]OUT_SyntheticFuels!$C$4:$C$1000))*1,("var_ncap"=[1]OUT_SyntheticFuels!$B$4:$B$1000)*1,[1]OUT_SyntheticFuels!J$4:J$1000)</f>
        <v>0.23128810170924999</v>
      </c>
    </row>
    <row r="2319" spans="2:11" x14ac:dyDescent="0.35">
      <c r="B2319" s="5" t="str">
        <f t="shared" si="1429"/>
        <v>SPS1</v>
      </c>
      <c r="C2319" s="5" t="str">
        <f t="shared" si="1430"/>
        <v>CH</v>
      </c>
      <c r="D2319" s="2" t="s">
        <v>2460</v>
      </c>
      <c r="E2319" s="2" t="s">
        <v>2157</v>
      </c>
      <c r="F2319" s="26"/>
      <c r="G2319" s="26"/>
      <c r="H2319" s="26"/>
      <c r="I2319" s="26"/>
      <c r="J2319" s="26"/>
      <c r="K2319" s="26"/>
    </row>
    <row r="2320" spans="2:11" x14ac:dyDescent="0.35">
      <c r="B2320" s="5" t="str">
        <f t="shared" si="1429"/>
        <v>SPS1</v>
      </c>
      <c r="C2320" s="5" t="str">
        <f t="shared" si="1430"/>
        <v>CH</v>
      </c>
      <c r="D2320" t="s">
        <v>2461</v>
      </c>
      <c r="E2320" t="s">
        <v>2157</v>
      </c>
      <c r="F2320" s="7" cm="1">
        <f t="array" ref="F2320">SUMPRODUCT(("CT_CWODBDS"=[1]OUT_SyntheticFuels!$C$4:$C$1000)*1,("var_ncap"=[1]OUT_SyntheticFuels!$B$4:$B$1000)*1,[1]OUT_SyntheticFuels!E$4:E$1000)</f>
        <v>3.4446927114877703E-8</v>
      </c>
      <c r="G2320" s="7" cm="1">
        <f t="array" ref="G2320">SUMPRODUCT(("CT_CWODBDS"=[1]OUT_SyntheticFuels!$C$4:$C$1000)*1,("var_ncap"=[1]OUT_SyntheticFuels!$B$4:$B$1000)*1,[1]OUT_SyntheticFuels!F$4:F$1000)</f>
        <v>3.8798801115155798E-8</v>
      </c>
      <c r="H2320" s="7" cm="1">
        <f t="array" ref="H2320">SUMPRODUCT(("CT_CWODBDS"=[1]OUT_SyntheticFuels!$C$4:$C$1000)*1,("var_ncap"=[1]OUT_SyntheticFuels!$B$4:$B$1000)*1,[1]OUT_SyntheticFuels!G$4:G$1000)</f>
        <v>6.6946999967349299E-8</v>
      </c>
      <c r="I2320" s="7" cm="1">
        <f t="array" ref="I2320">SUMPRODUCT(("CT_CWODBDS"=[1]OUT_SyntheticFuels!$C$4:$C$1000)*1,("var_ncap"=[1]OUT_SyntheticFuels!$B$4:$B$1000)*1,[1]OUT_SyntheticFuels!H$4:H$1000)</f>
        <v>8.2588885878313906E-8</v>
      </c>
      <c r="J2320" s="7" cm="1">
        <f t="array" ref="J2320">SUMPRODUCT(("CT_CWODBDS"=[1]OUT_SyntheticFuels!$C$4:$C$1000)*1,("var_ncap"=[1]OUT_SyntheticFuels!$B$4:$B$1000)*1,[1]OUT_SyntheticFuels!I$4:I$1000)</f>
        <v>2.96247902810765E-6</v>
      </c>
      <c r="K2320" s="7" cm="1">
        <f t="array" ref="K2320">SUMPRODUCT(("CT_CWODBDS"=[1]OUT_SyntheticFuels!$C$4:$C$1000)*1,("var_ncap"=[1]OUT_SyntheticFuels!$B$4:$B$1000)*1,[1]OUT_SyntheticFuels!J$4:J$1000)</f>
        <v>3.4289972966208098E-7</v>
      </c>
    </row>
    <row r="2321" spans="2:11" x14ac:dyDescent="0.35">
      <c r="B2321" s="5" t="str">
        <f t="shared" si="1429"/>
        <v>SPS1</v>
      </c>
      <c r="C2321" s="5" t="str">
        <f t="shared" si="1430"/>
        <v>CH</v>
      </c>
      <c r="D2321" t="s">
        <v>2462</v>
      </c>
      <c r="E2321" t="s">
        <v>2157</v>
      </c>
      <c r="F2321" s="7" cm="1">
        <f t="array" ref="F2321">SUMPRODUCT(("CT_CWODBDSCCS"=[1]OUT_SyntheticFuels!$C$4:$C$1000)*1,("var_ncap"=[1]OUT_SyntheticFuels!$B$4:$B$1000)*1,[1]OUT_SyntheticFuels!E$4:E$1000)</f>
        <v>0</v>
      </c>
      <c r="G2321" s="7" cm="1">
        <f t="array" ref="G2321">SUMPRODUCT(("CT_CWODBDSCCS"=[1]OUT_SyntheticFuels!$C$4:$C$1000)*1,("var_ncap"=[1]OUT_SyntheticFuels!$B$4:$B$1000)*1,[1]OUT_SyntheticFuels!F$4:F$1000)</f>
        <v>0</v>
      </c>
      <c r="H2321" s="7" cm="1">
        <f t="array" ref="H2321">SUMPRODUCT(("CT_CWODBDSCCS"=[1]OUT_SyntheticFuels!$C$4:$C$1000)*1,("var_ncap"=[1]OUT_SyntheticFuels!$B$4:$B$1000)*1,[1]OUT_SyntheticFuels!G$4:G$1000)</f>
        <v>0</v>
      </c>
      <c r="I2321" s="7" cm="1">
        <f t="array" ref="I2321">SUMPRODUCT(("CT_CWODBDSCCS"=[1]OUT_SyntheticFuels!$C$4:$C$1000)*1,("var_ncap"=[1]OUT_SyntheticFuels!$B$4:$B$1000)*1,[1]OUT_SyntheticFuels!H$4:H$1000)</f>
        <v>0</v>
      </c>
      <c r="J2321" s="7" cm="1">
        <f t="array" ref="J2321">SUMPRODUCT(("CT_CWODBDSCCS"=[1]OUT_SyntheticFuels!$C$4:$C$1000)*1,("var_ncap"=[1]OUT_SyntheticFuels!$B$4:$B$1000)*1,[1]OUT_SyntheticFuels!I$4:I$1000)</f>
        <v>1.0326071777902701E-5</v>
      </c>
      <c r="K2321" s="7" cm="1">
        <f t="array" ref="K2321">SUMPRODUCT(("CT_CWODBDSCCS"=[1]OUT_SyntheticFuels!$C$4:$C$1000)*1,("var_ncap"=[1]OUT_SyntheticFuels!$B$4:$B$1000)*1,[1]OUT_SyntheticFuels!J$4:J$1000)</f>
        <v>0.12906657426305601</v>
      </c>
    </row>
    <row r="2322" spans="2:11" x14ac:dyDescent="0.35">
      <c r="B2322" s="5" t="str">
        <f t="shared" si="1429"/>
        <v>SPS1</v>
      </c>
      <c r="C2322" s="5" t="str">
        <f t="shared" si="1430"/>
        <v>CH</v>
      </c>
      <c r="D2322" t="s">
        <v>2463</v>
      </c>
      <c r="E2322" t="s">
        <v>2157</v>
      </c>
      <c r="F2322" s="7" cm="1">
        <f t="array" ref="F2322">SUMPRODUCT(("CT_CWODETH"=[1]OUT_SyntheticFuels!$C$4:$C$1000)*1,("var_ncap"=[1]OUT_SyntheticFuels!$B$4:$B$1000)*1,[1]OUT_SyntheticFuels!E$4:E$1000)</f>
        <v>5.1023709010805099E-3</v>
      </c>
      <c r="G2322" s="7" cm="1">
        <f t="array" ref="G2322">SUMPRODUCT(("CT_CWODETH"=[1]OUT_SyntheticFuels!$C$4:$C$1000)*1,("var_ncap"=[1]OUT_SyntheticFuels!$B$4:$B$1000)*1,[1]OUT_SyntheticFuels!F$4:F$1000)</f>
        <v>1.8887601515664999E-7</v>
      </c>
      <c r="H2322" s="7" cm="1">
        <f t="array" ref="H2322">SUMPRODUCT(("CT_CWODETH"=[1]OUT_SyntheticFuels!$C$4:$C$1000)*1,("var_ncap"=[1]OUT_SyntheticFuels!$B$4:$B$1000)*1,[1]OUT_SyntheticFuels!G$4:G$1000)</f>
        <v>7.3885110819439203E-6</v>
      </c>
      <c r="I2322" s="7" cm="1">
        <f t="array" ref="I2322">SUMPRODUCT(("CT_CWODETH"=[1]OUT_SyntheticFuels!$C$4:$C$1000)*1,("var_ncap"=[1]OUT_SyntheticFuels!$B$4:$B$1000)*1,[1]OUT_SyntheticFuels!H$4:H$1000)</f>
        <v>9.2489367548510197E-8</v>
      </c>
      <c r="J2322" s="7" cm="1">
        <f t="array" ref="J2322">SUMPRODUCT(("CT_CWODETH"=[1]OUT_SyntheticFuels!$C$4:$C$1000)*1,("var_ncap"=[1]OUT_SyntheticFuels!$B$4:$B$1000)*1,[1]OUT_SyntheticFuels!I$4:I$1000)</f>
        <v>1.5086676501289701E-6</v>
      </c>
      <c r="K2322" s="7" cm="1">
        <f t="array" ref="K2322">SUMPRODUCT(("CT_CWODETH"=[1]OUT_SyntheticFuels!$C$4:$C$1000)*1,("var_ncap"=[1]OUT_SyntheticFuels!$B$4:$B$1000)*1,[1]OUT_SyntheticFuels!J$4:J$1000)</f>
        <v>6.2355058898994299E-6</v>
      </c>
    </row>
    <row r="2323" spans="2:11" x14ac:dyDescent="0.35">
      <c r="B2323" s="5" t="str">
        <f t="shared" si="1429"/>
        <v>SPS1</v>
      </c>
      <c r="C2323" s="5" t="str">
        <f t="shared" si="1430"/>
        <v>CH</v>
      </c>
      <c r="D2323" t="s">
        <v>2464</v>
      </c>
      <c r="E2323" t="s">
        <v>2157</v>
      </c>
      <c r="F2323" s="7" cm="1">
        <f t="array" ref="F2323">SUMPRODUCT(("CT_CWODETHCCS"=[1]OUT_SyntheticFuels!$C$4:$C$1000)*1,("var_ncap"=[1]OUT_SyntheticFuels!$B$4:$B$1000)*1,[1]OUT_SyntheticFuels!E$4:E$1000)</f>
        <v>0</v>
      </c>
      <c r="G2323" s="7" cm="1">
        <f t="array" ref="G2323">SUMPRODUCT(("CT_CWODETHCCS"=[1]OUT_SyntheticFuels!$C$4:$C$1000)*1,("var_ncap"=[1]OUT_SyntheticFuels!$B$4:$B$1000)*1,[1]OUT_SyntheticFuels!F$4:F$1000)</f>
        <v>0</v>
      </c>
      <c r="H2323" s="7" cm="1">
        <f t="array" ref="H2323">SUMPRODUCT(("CT_CWODETHCCS"=[1]OUT_SyntheticFuels!$C$4:$C$1000)*1,("var_ncap"=[1]OUT_SyntheticFuels!$B$4:$B$1000)*1,[1]OUT_SyntheticFuels!G$4:G$1000)</f>
        <v>0</v>
      </c>
      <c r="I2323" s="7" cm="1">
        <f t="array" ref="I2323">SUMPRODUCT(("CT_CWODETHCCS"=[1]OUT_SyntheticFuels!$C$4:$C$1000)*1,("var_ncap"=[1]OUT_SyntheticFuels!$B$4:$B$1000)*1,[1]OUT_SyntheticFuels!H$4:H$1000)</f>
        <v>0</v>
      </c>
      <c r="J2323" s="7" cm="1">
        <f t="array" ref="J2323">SUMPRODUCT(("CT_CWODETHCCS"=[1]OUT_SyntheticFuels!$C$4:$C$1000)*1,("var_ncap"=[1]OUT_SyntheticFuels!$B$4:$B$1000)*1,[1]OUT_SyntheticFuels!I$4:I$1000)</f>
        <v>8.0799001483953599E-6</v>
      </c>
      <c r="K2323" s="7" cm="1">
        <f t="array" ref="K2323">SUMPRODUCT(("CT_CWODETHCCS"=[1]OUT_SyntheticFuels!$C$4:$C$1000)*1,("var_ncap"=[1]OUT_SyntheticFuels!$B$4:$B$1000)*1,[1]OUT_SyntheticFuels!J$4:J$1000)</f>
        <v>2.9002579615437102E-7</v>
      </c>
    </row>
    <row r="2324" spans="2:11" x14ac:dyDescent="0.35">
      <c r="B2324" s="5" t="str">
        <f t="shared" si="1429"/>
        <v>SPS1</v>
      </c>
      <c r="C2324" s="5" t="str">
        <f t="shared" si="1430"/>
        <v>CH</v>
      </c>
      <c r="D2324" t="s">
        <v>2465</v>
      </c>
      <c r="E2324" t="s">
        <v>2157</v>
      </c>
      <c r="F2324" s="7" cm="1">
        <f t="array" ref="F2324">SUMPRODUCT(("SUP_MNRBIO"=[1]OUT_SyntheticFuels!$C$4:$C$1000)*1,("var_ncap"=[1]OUT_SyntheticFuels!$B$4:$B$1000)*1,[1]OUT_SyntheticFuels!E$4:E$1000)</f>
        <v>4.9504257458365002E-2</v>
      </c>
      <c r="G2324" s="7" cm="1">
        <f t="array" ref="G2324">SUMPRODUCT(("SUP_MNRBIO"=[1]OUT_SyntheticFuels!$C$4:$C$1000)*1,("var_ncap"=[1]OUT_SyntheticFuels!$B$4:$B$1000)*1,[1]OUT_SyntheticFuels!F$4:F$1000)</f>
        <v>8.2225073453126504E-2</v>
      </c>
      <c r="H2324" s="7" cm="1">
        <f t="array" ref="H2324">SUMPRODUCT(("SUP_MNRBIO"=[1]OUT_SyntheticFuels!$C$4:$C$1000)*1,("var_ncap"=[1]OUT_SyntheticFuels!$B$4:$B$1000)*1,[1]OUT_SyntheticFuels!G$4:G$1000)</f>
        <v>3.0665979060385502E-2</v>
      </c>
      <c r="I2324" s="7" cm="1">
        <f t="array" ref="I2324">SUMPRODUCT(("SUP_MNRBIO"=[1]OUT_SyntheticFuels!$C$4:$C$1000)*1,("var_ncap"=[1]OUT_SyntheticFuels!$B$4:$B$1000)*1,[1]OUT_SyntheticFuels!H$4:H$1000)</f>
        <v>5.0374842268144203E-6</v>
      </c>
      <c r="J2324" s="7" cm="1">
        <f t="array" ref="J2324">SUMPRODUCT(("SUP_MNRBIO"=[1]OUT_SyntheticFuels!$C$4:$C$1000)*1,("var_ncap"=[1]OUT_SyntheticFuels!$B$4:$B$1000)*1,[1]OUT_SyntheticFuels!I$4:I$1000)</f>
        <v>9.88434021198632E-2</v>
      </c>
      <c r="K2324" s="7" cm="1">
        <f t="array" ref="K2324">SUMPRODUCT(("SUP_MNRBIO"=[1]OUT_SyntheticFuels!$C$4:$C$1000)*1,("var_ncap"=[1]OUT_SyntheticFuels!$B$4:$B$1000)*1,[1]OUT_SyntheticFuels!J$4:J$1000)</f>
        <v>0.248434872012636</v>
      </c>
    </row>
    <row r="2325" spans="2:11" x14ac:dyDescent="0.35">
      <c r="B2325" s="5" t="str">
        <f t="shared" si="1429"/>
        <v>SPS1</v>
      </c>
      <c r="C2325" s="5" t="str">
        <f t="shared" si="1430"/>
        <v>CH</v>
      </c>
      <c r="D2325" t="s">
        <v>2466</v>
      </c>
      <c r="E2325" t="s">
        <v>2157</v>
      </c>
      <c r="F2325" s="7" cm="1">
        <f t="array" ref="F2325">SUMPRODUCT(("SUP_WSTBIO"=[1]OUT_SyntheticFuels!$C$4:$C$1000)*1,("var_ncap"=[1]OUT_SyntheticFuels!$B$4:$B$1000)*1,[1]OUT_SyntheticFuels!E$4:E$1000)</f>
        <v>4.0972032246380501E-3</v>
      </c>
      <c r="G2325" s="7" cm="1">
        <f t="array" ref="G2325">SUMPRODUCT(("SUP_WSTBIO"=[1]OUT_SyntheticFuels!$C$4:$C$1000)*1,("var_ncap"=[1]OUT_SyntheticFuels!$B$4:$B$1000)*1,[1]OUT_SyntheticFuels!F$4:F$1000)</f>
        <v>2.2999094301750699E-2</v>
      </c>
      <c r="H2325" s="7" cm="1">
        <f t="array" ref="H2325">SUMPRODUCT(("SUP_WSTBIO"=[1]OUT_SyntheticFuels!$C$4:$C$1000)*1,("var_ncap"=[1]OUT_SyntheticFuels!$B$4:$B$1000)*1,[1]OUT_SyntheticFuels!G$4:G$1000)</f>
        <v>2.9874251785992401E-7</v>
      </c>
      <c r="I2325" s="7" cm="1">
        <f t="array" ref="I2325">SUMPRODUCT(("SUP_WSTBIO"=[1]OUT_SyntheticFuels!$C$4:$C$1000)*1,("var_ncap"=[1]OUT_SyntheticFuels!$B$4:$B$1000)*1,[1]OUT_SyntheticFuels!H$4:H$1000)</f>
        <v>9.9384358122240002E-2</v>
      </c>
      <c r="J2325" s="7" cm="1">
        <f t="array" ref="J2325">SUMPRODUCT(("SUP_WSTBIO"=[1]OUT_SyntheticFuels!$C$4:$C$1000)*1,("var_ncap"=[1]OUT_SyntheticFuels!$B$4:$B$1000)*1,[1]OUT_SyntheticFuels!I$4:I$1000)</f>
        <v>2.5330282174595001E-2</v>
      </c>
      <c r="K2325" s="7" cm="1">
        <f t="array" ref="K2325">SUMPRODUCT(("SUP_WSTBIO"=[1]OUT_SyntheticFuels!$C$4:$C$1000)*1,("var_ncap"=[1]OUT_SyntheticFuels!$B$4:$B$1000)*1,[1]OUT_SyntheticFuels!J$4:J$1000)</f>
        <v>9.3009572323926606E-2</v>
      </c>
    </row>
    <row r="2326" spans="2:11" x14ac:dyDescent="0.35">
      <c r="B2326" s="5" t="str">
        <f t="shared" si="1429"/>
        <v>SPS1</v>
      </c>
      <c r="C2326" s="5" t="str">
        <f t="shared" si="1430"/>
        <v>CH</v>
      </c>
      <c r="D2326" t="s">
        <v>2467</v>
      </c>
      <c r="E2326" t="s">
        <v>2157</v>
      </c>
      <c r="F2326" s="7" cm="1">
        <f t="array" ref="F2326">SUMPRODUCT(("SUP_WSTBIOCCS"=[1]OUT_SyntheticFuels!$C$4:$C$1000)*1,("var_ncap"=[1]OUT_SyntheticFuels!$B$4:$B$1000)*1,[1]OUT_SyntheticFuels!E$4:E$1000)</f>
        <v>0</v>
      </c>
      <c r="G2326" s="7" cm="1">
        <f t="array" ref="G2326">SUMPRODUCT(("SUP_WSTBIOCCS"=[1]OUT_SyntheticFuels!$C$4:$C$1000)*1,("var_ncap"=[1]OUT_SyntheticFuels!$B$4:$B$1000)*1,[1]OUT_SyntheticFuels!F$4:F$1000)</f>
        <v>0</v>
      </c>
      <c r="H2326" s="7" cm="1">
        <f t="array" ref="H2326">SUMPRODUCT(("SUP_WSTBIOCCS"=[1]OUT_SyntheticFuels!$C$4:$C$1000)*1,("var_ncap"=[1]OUT_SyntheticFuels!$B$4:$B$1000)*1,[1]OUT_SyntheticFuels!G$4:G$1000)</f>
        <v>0</v>
      </c>
      <c r="I2326" s="7" cm="1">
        <f t="array" ref="I2326">SUMPRODUCT(("SUP_WSTBIOCCS"=[1]OUT_SyntheticFuels!$C$4:$C$1000)*1,("var_ncap"=[1]OUT_SyntheticFuels!$B$4:$B$1000)*1,[1]OUT_SyntheticFuels!H$4:H$1000)</f>
        <v>0</v>
      </c>
      <c r="J2326" s="7" cm="1">
        <f t="array" ref="J2326">SUMPRODUCT(("SUP_WSTBIOCCS"=[1]OUT_SyntheticFuels!$C$4:$C$1000)*1,("var_ncap"=[1]OUT_SyntheticFuels!$B$4:$B$1000)*1,[1]OUT_SyntheticFuels!I$4:I$1000)</f>
        <v>0</v>
      </c>
      <c r="K2326" s="7" cm="1">
        <f t="array" ref="K2326">SUMPRODUCT(("SUP_WSTBIOCCS"=[1]OUT_SyntheticFuels!$C$4:$C$1000)*1,("var_ncap"=[1]OUT_SyntheticFuels!$B$4:$B$1000)*1,[1]OUT_SyntheticFuels!J$4:J$1000)</f>
        <v>0</v>
      </c>
    </row>
    <row r="2327" spans="2:11" x14ac:dyDescent="0.35">
      <c r="B2327" s="5" t="str">
        <f t="shared" si="1429"/>
        <v>SPS1</v>
      </c>
      <c r="C2327" s="5" t="str">
        <f t="shared" si="1430"/>
        <v>CH</v>
      </c>
      <c r="D2327" t="s">
        <v>2468</v>
      </c>
      <c r="E2327" t="s">
        <v>2157</v>
      </c>
      <c r="F2327" s="7" cm="1">
        <f t="array" ref="F2327">SUMPRODUCT(("SUP_WSTHTGBIO"=[1]OUT_SyntheticFuels!$C$4:$C$1000)*1,("var_ncap"=[1]OUT_SyntheticFuels!$B$4:$B$1000)*1,[1]OUT_SyntheticFuels!E$4:E$1000)</f>
        <v>0</v>
      </c>
      <c r="G2327" s="7" cm="1">
        <f t="array" ref="G2327">SUMPRODUCT(("SUP_WSTHTGBIO"=[1]OUT_SyntheticFuels!$C$4:$C$1000)*1,("var_ncap"=[1]OUT_SyntheticFuels!$B$4:$B$1000)*1,[1]OUT_SyntheticFuels!F$4:F$1000)</f>
        <v>0</v>
      </c>
      <c r="H2327" s="7" cm="1">
        <f t="array" ref="H2327">SUMPRODUCT(("SUP_WSTHTGBIO"=[1]OUT_SyntheticFuels!$C$4:$C$1000)*1,("var_ncap"=[1]OUT_SyntheticFuels!$B$4:$B$1000)*1,[1]OUT_SyntheticFuels!G$4:G$1000)</f>
        <v>0</v>
      </c>
      <c r="I2327" s="7" cm="1">
        <f t="array" ref="I2327">SUMPRODUCT(("SUP_WSTHTGBIO"=[1]OUT_SyntheticFuels!$C$4:$C$1000)*1,("var_ncap"=[1]OUT_SyntheticFuels!$B$4:$B$1000)*1,[1]OUT_SyntheticFuels!H$4:H$1000)</f>
        <v>0</v>
      </c>
      <c r="J2327" s="7" cm="1">
        <f t="array" ref="J2327">SUMPRODUCT(("SUP_WSTHTGBIO"=[1]OUT_SyntheticFuels!$C$4:$C$1000)*1,("var_ncap"=[1]OUT_SyntheticFuels!$B$4:$B$1000)*1,[1]OUT_SyntheticFuels!I$4:I$1000)</f>
        <v>1.03252742916419E-5</v>
      </c>
      <c r="K2327" s="7" cm="1">
        <f t="array" ref="K2327">SUMPRODUCT(("SUP_WSTHTGBIO"=[1]OUT_SyntheticFuels!$C$4:$C$1000)*1,("var_ncap"=[1]OUT_SyntheticFuels!$B$4:$B$1000)*1,[1]OUT_SyntheticFuels!J$4:J$1000)</f>
        <v>1.02821073713632E-7</v>
      </c>
    </row>
    <row r="2328" spans="2:11" x14ac:dyDescent="0.35">
      <c r="B2328" s="5" t="str">
        <f t="shared" si="1429"/>
        <v>SPS1</v>
      </c>
      <c r="C2328" s="5" t="str">
        <f t="shared" si="1430"/>
        <v>CH</v>
      </c>
      <c r="D2328" t="s">
        <v>2469</v>
      </c>
      <c r="E2328" t="s">
        <v>2157</v>
      </c>
      <c r="F2328" s="7" cm="1">
        <f t="array" ref="F2328">SUMPRODUCT(("SUP_WSTHTGBIOCCS"=[1]OUT_SyntheticFuels!$C$4:$C$1000)*1,("var_ncap"=[1]OUT_SyntheticFuels!$B$4:$B$1000)*1,[1]OUT_SyntheticFuels!E$4:E$1000)</f>
        <v>0</v>
      </c>
      <c r="G2328" s="7" cm="1">
        <f t="array" ref="G2328">SUMPRODUCT(("SUP_WSTHTGBIOCCS"=[1]OUT_SyntheticFuels!$C$4:$C$1000)*1,("var_ncap"=[1]OUT_SyntheticFuels!$B$4:$B$1000)*1,[1]OUT_SyntheticFuels!F$4:F$1000)</f>
        <v>0</v>
      </c>
      <c r="H2328" s="7" cm="1">
        <f t="array" ref="H2328">SUMPRODUCT(("SUP_WSTHTGBIOCCS"=[1]OUT_SyntheticFuels!$C$4:$C$1000)*1,("var_ncap"=[1]OUT_SyntheticFuels!$B$4:$B$1000)*1,[1]OUT_SyntheticFuels!G$4:G$1000)</f>
        <v>0</v>
      </c>
      <c r="I2328" s="7" cm="1">
        <f t="array" ref="I2328">SUMPRODUCT(("SUP_WSTHTGBIOCCS"=[1]OUT_SyntheticFuels!$C$4:$C$1000)*1,("var_ncap"=[1]OUT_SyntheticFuels!$B$4:$B$1000)*1,[1]OUT_SyntheticFuels!H$4:H$1000)</f>
        <v>0</v>
      </c>
      <c r="J2328" s="7" cm="1">
        <f t="array" ref="J2328">SUMPRODUCT(("SUP_WSTHTGBIOCCS"=[1]OUT_SyntheticFuels!$C$4:$C$1000)*1,("var_ncap"=[1]OUT_SyntheticFuels!$B$4:$B$1000)*1,[1]OUT_SyntheticFuels!I$4:I$1000)</f>
        <v>3.8541942371517701E-6</v>
      </c>
      <c r="K2328" s="7" cm="1">
        <f t="array" ref="K2328">SUMPRODUCT(("SUP_WSTHTGBIOCCS"=[1]OUT_SyntheticFuels!$C$4:$C$1000)*1,("var_ncap"=[1]OUT_SyntheticFuels!$B$4:$B$1000)*1,[1]OUT_SyntheticFuels!J$4:J$1000)</f>
        <v>1.14481277361868E-7</v>
      </c>
    </row>
    <row r="2329" spans="2:11" x14ac:dyDescent="0.35">
      <c r="B2329" s="5" t="str">
        <f t="shared" si="1429"/>
        <v>SPS1</v>
      </c>
      <c r="C2329" s="5" t="str">
        <f t="shared" si="1430"/>
        <v>CH</v>
      </c>
      <c r="D2329" t="s">
        <v>2470</v>
      </c>
      <c r="E2329" t="s">
        <v>2157</v>
      </c>
      <c r="F2329" s="7" cm="1">
        <f t="array" ref="F2329">SUMPRODUCT(("SUP_WODBIO"=[1]OUT_SyntheticFuels!$C$4:$C$1000)*1,("var_ncap"=[1]OUT_SyntheticFuels!$B$4:$B$1000)*1,[1]OUT_SyntheticFuels!E$4:E$1000)</f>
        <v>3.6102657523169799E-7</v>
      </c>
      <c r="G2329" s="7" cm="1">
        <f t="array" ref="G2329">SUMPRODUCT(("SUP_WODBIO"=[1]OUT_SyntheticFuels!$C$4:$C$1000)*1,("var_ncap"=[1]OUT_SyntheticFuels!$B$4:$B$1000)*1,[1]OUT_SyntheticFuels!F$4:F$1000)</f>
        <v>1.43045292180839E-5</v>
      </c>
      <c r="H2329" s="7" cm="1">
        <f t="array" ref="H2329">SUMPRODUCT(("SUP_WODBIO"=[1]OUT_SyntheticFuels!$C$4:$C$1000)*1,("var_ncap"=[1]OUT_SyntheticFuels!$B$4:$B$1000)*1,[1]OUT_SyntheticFuels!G$4:G$1000)</f>
        <v>8.7015715166617505E-7</v>
      </c>
      <c r="I2329" s="7" cm="1">
        <f t="array" ref="I2329">SUMPRODUCT(("SUP_WODBIO"=[1]OUT_SyntheticFuels!$C$4:$C$1000)*1,("var_ncap"=[1]OUT_SyntheticFuels!$B$4:$B$1000)*1,[1]OUT_SyntheticFuels!H$4:H$1000)</f>
        <v>4.4752615869502899E-7</v>
      </c>
      <c r="J2329" s="7" cm="1">
        <f t="array" ref="J2329">SUMPRODUCT(("SUP_WODBIO"=[1]OUT_SyntheticFuels!$C$4:$C$1000)*1,("var_ncap"=[1]OUT_SyntheticFuels!$B$4:$B$1000)*1,[1]OUT_SyntheticFuels!I$4:I$1000)</f>
        <v>2.8531282796427799E-6</v>
      </c>
      <c r="K2329" s="7" cm="1">
        <f t="array" ref="K2329">SUMPRODUCT(("SUP_WODBIO"=[1]OUT_SyntheticFuels!$C$4:$C$1000)*1,("var_ncap"=[1]OUT_SyntheticFuels!$B$4:$B$1000)*1,[1]OUT_SyntheticFuels!J$4:J$1000)</f>
        <v>3.0356649644132898E-6</v>
      </c>
    </row>
    <row r="2330" spans="2:11" x14ac:dyDescent="0.35">
      <c r="B2330" s="5" t="str">
        <f t="shared" si="1429"/>
        <v>SPS1</v>
      </c>
      <c r="C2330" s="5" t="str">
        <f t="shared" si="1430"/>
        <v>CH</v>
      </c>
      <c r="D2330" t="s">
        <v>2471</v>
      </c>
      <c r="E2330" t="s">
        <v>2157</v>
      </c>
      <c r="F2330" s="7" cm="1">
        <f t="array" ref="F2330">SUMPRODUCT(("SUP_WODBIOCCS"=[1]OUT_SyntheticFuels!$C$4:$C$1000)*1,("var_ncap"=[1]OUT_SyntheticFuels!$B$4:$B$1000)*1,[1]OUT_SyntheticFuels!E$4:E$1000)</f>
        <v>0</v>
      </c>
      <c r="G2330" s="7" cm="1">
        <f t="array" ref="G2330">SUMPRODUCT(("SUP_WODBIOCCS"=[1]OUT_SyntheticFuels!$C$4:$C$1000)*1,("var_ncap"=[1]OUT_SyntheticFuels!$B$4:$B$1000)*1,[1]OUT_SyntheticFuels!F$4:F$1000)</f>
        <v>0</v>
      </c>
      <c r="H2330" s="7" cm="1">
        <f t="array" ref="H2330">SUMPRODUCT(("SUP_WODBIOCCS"=[1]OUT_SyntheticFuels!$C$4:$C$1000)*1,("var_ncap"=[1]OUT_SyntheticFuels!$B$4:$B$1000)*1,[1]OUT_SyntheticFuels!G$4:G$1000)</f>
        <v>0</v>
      </c>
      <c r="I2330" s="7" cm="1">
        <f t="array" ref="I2330">SUMPRODUCT(("SUP_WODBIOCCS"=[1]OUT_SyntheticFuels!$C$4:$C$1000)*1,("var_ncap"=[1]OUT_SyntheticFuels!$B$4:$B$1000)*1,[1]OUT_SyntheticFuels!H$4:H$1000)</f>
        <v>0</v>
      </c>
      <c r="J2330" s="7" cm="1">
        <f t="array" ref="J2330">SUMPRODUCT(("SUP_WODBIOCCS"=[1]OUT_SyntheticFuels!$C$4:$C$1000)*1,("var_ncap"=[1]OUT_SyntheticFuels!$B$4:$B$1000)*1,[1]OUT_SyntheticFuels!I$4:I$1000)</f>
        <v>1.11201832248765E-5</v>
      </c>
      <c r="K2330" s="7" cm="1">
        <f t="array" ref="K2330">SUMPRODUCT(("SUP_WODBIOCCS"=[1]OUT_SyntheticFuels!$C$4:$C$1000)*1,("var_ncap"=[1]OUT_SyntheticFuels!$B$4:$B$1000)*1,[1]OUT_SyntheticFuels!J$4:J$1000)</f>
        <v>1.14362207462797E-7</v>
      </c>
    </row>
    <row r="2331" spans="2:11" x14ac:dyDescent="0.35">
      <c r="B2331" s="5" t="str">
        <f t="shared" si="1429"/>
        <v>SPS1</v>
      </c>
      <c r="C2331" s="5" t="str">
        <f t="shared" si="1430"/>
        <v>CH</v>
      </c>
      <c r="D2331" t="s">
        <v>2472</v>
      </c>
      <c r="E2331" t="s">
        <v>2157</v>
      </c>
      <c r="F2331" s="7" cm="1">
        <f t="array" ref="F2331">SUMPRODUCT(("SUP_BIONGA"=[1]OUT_SyntheticFuels!$C$4:$C$1000)*1,("var_ncap"=[1]OUT_SyntheticFuels!$B$4:$B$1000)*1,[1]OUT_SyntheticFuels!E$4:E$1000)</f>
        <v>1.4345718874730601E-2</v>
      </c>
      <c r="G2331" s="7" cm="1">
        <f t="array" ref="G2331">SUMPRODUCT(("SUP_BIONGA"=[1]OUT_SyntheticFuels!$C$4:$C$1000)*1,("var_ncap"=[1]OUT_SyntheticFuels!$B$4:$B$1000)*1,[1]OUT_SyntheticFuels!F$4:F$1000)</f>
        <v>7.6699997133483994E-2</v>
      </c>
      <c r="H2331" s="7" cm="1">
        <f t="array" ref="H2331">SUMPRODUCT(("SUP_BIONGA"=[1]OUT_SyntheticFuels!$C$4:$C$1000)*1,("var_ncap"=[1]OUT_SyntheticFuels!$B$4:$B$1000)*1,[1]OUT_SyntheticFuels!G$4:G$1000)</f>
        <v>1.2069559347460401E-7</v>
      </c>
      <c r="I2331" s="7" cm="1">
        <f t="array" ref="I2331">SUMPRODUCT(("SUP_BIONGA"=[1]OUT_SyntheticFuels!$C$4:$C$1000)*1,("var_ncap"=[1]OUT_SyntheticFuels!$B$4:$B$1000)*1,[1]OUT_SyntheticFuels!H$4:H$1000)</f>
        <v>1.49782712458968E-7</v>
      </c>
      <c r="J2331" s="7" cm="1">
        <f t="array" ref="J2331">SUMPRODUCT(("SUP_BIONGA"=[1]OUT_SyntheticFuels!$C$4:$C$1000)*1,("var_ncap"=[1]OUT_SyntheticFuels!$B$4:$B$1000)*1,[1]OUT_SyntheticFuels!I$4:I$1000)</f>
        <v>4.7210658137890799E-2</v>
      </c>
      <c r="K2331" s="7" cm="1">
        <f t="array" ref="K2331">SUMPRODUCT(("SUP_BIONGA"=[1]OUT_SyntheticFuels!$C$4:$C$1000)*1,("var_ncap"=[1]OUT_SyntheticFuels!$B$4:$B$1000)*1,[1]OUT_SyntheticFuels!J$4:J$1000)</f>
        <v>5.6654115249816998E-2</v>
      </c>
    </row>
    <row r="2332" spans="2:11" x14ac:dyDescent="0.35">
      <c r="B2332" s="5" t="str">
        <f t="shared" si="1429"/>
        <v>SPS1</v>
      </c>
      <c r="C2332" s="5" t="str">
        <f t="shared" si="1430"/>
        <v>CH</v>
      </c>
      <c r="D2332" t="s">
        <v>2473</v>
      </c>
      <c r="E2332" t="s">
        <v>2157</v>
      </c>
      <c r="F2332" s="7" cm="1">
        <f t="array" ref="F2332">SUMPRODUCT(("CT_CWODPLT"=[1]OUT_SyntheticFuels!$C$4:$C$1000)*1,("var_ncap"=[1]OUT_SyntheticFuels!$B$4:$B$1000)*1,[1]OUT_SyntheticFuels!E$4:E$1000)</f>
        <v>0.152853330432285</v>
      </c>
      <c r="G2332" s="7" cm="1">
        <f t="array" ref="G2332">SUMPRODUCT(("CT_CWODPLT"=[1]OUT_SyntheticFuels!$C$4:$C$1000)*1,("var_ncap"=[1]OUT_SyntheticFuels!$B$4:$B$1000)*1,[1]OUT_SyntheticFuels!F$4:F$1000)</f>
        <v>5.4879556311548498E-2</v>
      </c>
      <c r="H2332" s="7" cm="1">
        <f t="array" ref="H2332">SUMPRODUCT(("CT_CWODPLT"=[1]OUT_SyntheticFuels!$C$4:$C$1000)*1,("var_ncap"=[1]OUT_SyntheticFuels!$B$4:$B$1000)*1,[1]OUT_SyntheticFuels!G$4:G$1000)</f>
        <v>5.3861651911851602E-7</v>
      </c>
      <c r="I2332" s="7" cm="1">
        <f t="array" ref="I2332">SUMPRODUCT(("CT_CWODPLT"=[1]OUT_SyntheticFuels!$C$4:$C$1000)*1,("var_ncap"=[1]OUT_SyntheticFuels!$B$4:$B$1000)*1,[1]OUT_SyntheticFuels!H$4:H$1000)</f>
        <v>7.5602114644235702E-7</v>
      </c>
      <c r="J2332" s="7" cm="1">
        <f t="array" ref="J2332">SUMPRODUCT(("CT_CWODPLT"=[1]OUT_SyntheticFuels!$C$4:$C$1000)*1,("var_ncap"=[1]OUT_SyntheticFuels!$B$4:$B$1000)*1,[1]OUT_SyntheticFuels!I$4:I$1000)</f>
        <v>0.15447776045073999</v>
      </c>
      <c r="K2332" s="7" cm="1">
        <f t="array" ref="K2332">SUMPRODUCT(("CT_CWODPLT"=[1]OUT_SyntheticFuels!$C$4:$C$1000)*1,("var_ncap"=[1]OUT_SyntheticFuels!$B$4:$B$1000)*1,[1]OUT_SyntheticFuels!J$4:J$1000)</f>
        <v>7.6717646825808505E-2</v>
      </c>
    </row>
    <row r="2333" spans="2:11" x14ac:dyDescent="0.35">
      <c r="B2333" s="5" t="str">
        <f t="shared" si="1429"/>
        <v>SPS1</v>
      </c>
      <c r="C2333" s="5" t="str">
        <f t="shared" si="1430"/>
        <v>CH</v>
      </c>
      <c r="D2333" t="s">
        <v>2474</v>
      </c>
      <c r="E2333" t="s">
        <v>2157</v>
      </c>
      <c r="F2333" s="7" cm="1">
        <f t="array" ref="F2333">SUMPRODUCT(("SUP_H2NGA"=[1]OUT_SyntheticFuels!$C$4:$C$1000)*1,("var_ncap"=[1]OUT_SyntheticFuels!$B$4:$B$1000)*1,[1]OUT_SyntheticFuels!E$4:E$1000)</f>
        <v>0</v>
      </c>
      <c r="G2333" s="7" cm="1">
        <f t="array" ref="G2333">SUMPRODUCT(("SUP_H2NGA"=[1]OUT_SyntheticFuels!$C$4:$C$1000)*1,("var_ncap"=[1]OUT_SyntheticFuels!$B$4:$B$1000)*1,[1]OUT_SyntheticFuels!F$4:F$1000)</f>
        <v>0</v>
      </c>
      <c r="H2333" s="7" cm="1">
        <f t="array" ref="H2333">SUMPRODUCT(("SUP_H2NGA"=[1]OUT_SyntheticFuels!$C$4:$C$1000)*1,("var_ncap"=[1]OUT_SyntheticFuels!$B$4:$B$1000)*1,[1]OUT_SyntheticFuels!G$4:G$1000)</f>
        <v>0</v>
      </c>
      <c r="I2333" s="7" cm="1">
        <f t="array" ref="I2333">SUMPRODUCT(("SUP_H2NGA"=[1]OUT_SyntheticFuels!$C$4:$C$1000)*1,("var_ncap"=[1]OUT_SyntheticFuels!$B$4:$B$1000)*1,[1]OUT_SyntheticFuels!H$4:H$1000)</f>
        <v>3.20044689771081E-7</v>
      </c>
      <c r="J2333" s="7" cm="1">
        <f t="array" ref="J2333">SUMPRODUCT(("SUP_H2NGA"=[1]OUT_SyntheticFuels!$C$4:$C$1000)*1,("var_ncap"=[1]OUT_SyntheticFuels!$B$4:$B$1000)*1,[1]OUT_SyntheticFuels!I$4:I$1000)</f>
        <v>6.6470318696888303E-5</v>
      </c>
      <c r="K2333" s="7" cm="1">
        <f t="array" ref="K2333">SUMPRODUCT(("SUP_H2NGA"=[1]OUT_SyntheticFuels!$C$4:$C$1000)*1,("var_ncap"=[1]OUT_SyntheticFuels!$B$4:$B$1000)*1,[1]OUT_SyntheticFuels!J$4:J$1000)</f>
        <v>5.9566459133422295E-7</v>
      </c>
    </row>
    <row r="2334" spans="2:11" x14ac:dyDescent="0.35">
      <c r="B2334" s="5" t="str">
        <f t="shared" si="1429"/>
        <v>SPS1</v>
      </c>
      <c r="C2334" s="5" t="str">
        <f t="shared" si="1430"/>
        <v>CH</v>
      </c>
      <c r="D2334" t="s">
        <v>2475</v>
      </c>
      <c r="E2334" t="s">
        <v>2157</v>
      </c>
      <c r="F2334" s="7" cm="1">
        <f t="array" ref="F2334">SUMPRODUCT(("SUP_H2DSL"=[1]OUT_SyntheticFuels!$C$4:$C$1000)*1,("var_ncap"=[1]OUT_SyntheticFuels!$B$4:$B$1000)*1,[1]OUT_SyntheticFuels!E$4:E$1000)</f>
        <v>0</v>
      </c>
      <c r="G2334" s="7" cm="1">
        <f t="array" ref="G2334">SUMPRODUCT(("SUP_H2DSL"=[1]OUT_SyntheticFuels!$C$4:$C$1000)*1,("var_ncap"=[1]OUT_SyntheticFuels!$B$4:$B$1000)*1,[1]OUT_SyntheticFuels!F$4:F$1000)</f>
        <v>0</v>
      </c>
      <c r="H2334" s="7" cm="1">
        <f t="array" ref="H2334">SUMPRODUCT(("SUP_H2DSL"=[1]OUT_SyntheticFuels!$C$4:$C$1000)*1,("var_ncap"=[1]OUT_SyntheticFuels!$B$4:$B$1000)*1,[1]OUT_SyntheticFuels!G$4:G$1000)</f>
        <v>0</v>
      </c>
      <c r="I2334" s="7" cm="1">
        <f t="array" ref="I2334">SUMPRODUCT(("SUP_H2DSL"=[1]OUT_SyntheticFuels!$C$4:$C$1000)*1,("var_ncap"=[1]OUT_SyntheticFuels!$B$4:$B$1000)*1,[1]OUT_SyntheticFuels!H$4:H$1000)</f>
        <v>5.6948182636423597E-7</v>
      </c>
      <c r="J2334" s="7" cm="1">
        <f t="array" ref="J2334">SUMPRODUCT(("SUP_H2DSL"=[1]OUT_SyntheticFuels!$C$4:$C$1000)*1,("var_ncap"=[1]OUT_SyntheticFuels!$B$4:$B$1000)*1,[1]OUT_SyntheticFuels!I$4:I$1000)</f>
        <v>0.11529814156729799</v>
      </c>
      <c r="K2334" s="7" cm="1">
        <f t="array" ref="K2334">SUMPRODUCT(("SUP_H2DSL"=[1]OUT_SyntheticFuels!$C$4:$C$1000)*1,("var_ncap"=[1]OUT_SyntheticFuels!$B$4:$B$1000)*1,[1]OUT_SyntheticFuels!J$4:J$1000)</f>
        <v>3.2460640654678198E-7</v>
      </c>
    </row>
    <row r="2335" spans="2:11" x14ac:dyDescent="0.35">
      <c r="B2335" s="5" t="str">
        <f t="shared" si="1429"/>
        <v>SPS1</v>
      </c>
      <c r="C2335" s="5" t="str">
        <f t="shared" si="1430"/>
        <v>CH</v>
      </c>
      <c r="D2335" t="s">
        <v>2476</v>
      </c>
      <c r="E2335" t="s">
        <v>2157</v>
      </c>
      <c r="F2335" s="7" cm="1">
        <f t="array" ref="F2335">SUMPRODUCT(("SUP_H2GSL"=[1]OUT_SyntheticFuels!$C$4:$C$1000)*1,("var_ncap"=[1]OUT_SyntheticFuels!$B$4:$B$1000)*1,[1]OUT_SyntheticFuels!E$4:E$1000)</f>
        <v>0</v>
      </c>
      <c r="G2335" s="7" cm="1">
        <f t="array" ref="G2335">SUMPRODUCT(("SUP_H2GSL"=[1]OUT_SyntheticFuels!$C$4:$C$1000)*1,("var_ncap"=[1]OUT_SyntheticFuels!$B$4:$B$1000)*1,[1]OUT_SyntheticFuels!F$4:F$1000)</f>
        <v>0</v>
      </c>
      <c r="H2335" s="7" cm="1">
        <f t="array" ref="H2335">SUMPRODUCT(("SUP_H2GSL"=[1]OUT_SyntheticFuels!$C$4:$C$1000)*1,("var_ncap"=[1]OUT_SyntheticFuels!$B$4:$B$1000)*1,[1]OUT_SyntheticFuels!G$4:G$1000)</f>
        <v>0</v>
      </c>
      <c r="I2335" s="7" cm="1">
        <f t="array" ref="I2335">SUMPRODUCT(("SUP_H2GSL"=[1]OUT_SyntheticFuels!$C$4:$C$1000)*1,("var_ncap"=[1]OUT_SyntheticFuels!$B$4:$B$1000)*1,[1]OUT_SyntheticFuels!H$4:H$1000)</f>
        <v>8.9729149856117504E-7</v>
      </c>
      <c r="J2335" s="7" cm="1">
        <f t="array" ref="J2335">SUMPRODUCT(("SUP_H2GSL"=[1]OUT_SyntheticFuels!$C$4:$C$1000)*1,("var_ncap"=[1]OUT_SyntheticFuels!$B$4:$B$1000)*1,[1]OUT_SyntheticFuels!I$4:I$1000)</f>
        <v>1.12703096127371E-2</v>
      </c>
      <c r="K2335" s="7" cm="1">
        <f t="array" ref="K2335">SUMPRODUCT(("SUP_H2GSL"=[1]OUT_SyntheticFuels!$C$4:$C$1000)*1,("var_ncap"=[1]OUT_SyntheticFuels!$B$4:$B$1000)*1,[1]OUT_SyntheticFuels!J$4:J$1000)</f>
        <v>4.0079429215039301E-7</v>
      </c>
    </row>
  </sheetData>
  <autoFilter ref="A1:K2227" xr:uid="{15C46DEA-5C06-F647-8B36-DFFD23D6C197}"/>
  <sortState xmlns:xlrd2="http://schemas.microsoft.com/office/spreadsheetml/2017/richdata2" ref="D1572:D1574">
    <sortCondition ref="D1572:D1574"/>
  </sortState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1720</v>
      </c>
      <c r="C3" s="3">
        <f>SUM(C4:C7)</f>
        <v>716.18514021291446</v>
      </c>
      <c r="D3" s="3">
        <f t="shared" ref="D3:H3" si="0">SUM(D4:D7)</f>
        <v>703.77382934271168</v>
      </c>
      <c r="E3" s="3">
        <f t="shared" si="0"/>
        <v>685.50064578428442</v>
      </c>
      <c r="F3" s="3">
        <f t="shared" si="0"/>
        <v>609.39828016207866</v>
      </c>
      <c r="G3" s="3">
        <f t="shared" si="0"/>
        <v>525.15786942921227</v>
      </c>
      <c r="H3" s="3">
        <f t="shared" si="0"/>
        <v>483.79258459674702</v>
      </c>
    </row>
    <row r="4" spans="2:8" x14ac:dyDescent="0.35">
      <c r="B4" s="25" t="s">
        <v>1728</v>
      </c>
      <c r="C4" s="1">
        <f>'SPS1'!F761</f>
        <v>142.21764061393219</v>
      </c>
      <c r="D4" s="1">
        <f>'SPS1'!G761</f>
        <v>141.14238588847678</v>
      </c>
      <c r="E4" s="1">
        <f>'SPS1'!H761</f>
        <v>142.16158944438953</v>
      </c>
      <c r="F4" s="1">
        <f>'SPS1'!I761</f>
        <v>140.00454920594322</v>
      </c>
      <c r="G4" s="1">
        <f>'SPS1'!J761</f>
        <v>130.94849675869108</v>
      </c>
      <c r="H4" s="1">
        <f>'SPS1'!K761</f>
        <v>132.13272018056247</v>
      </c>
    </row>
    <row r="5" spans="2:8" x14ac:dyDescent="0.35">
      <c r="B5" s="25" t="s">
        <v>1729</v>
      </c>
      <c r="C5" s="1">
        <f>'SPS1'!F880</f>
        <v>140.1011655880001</v>
      </c>
      <c r="D5" s="1">
        <f>'SPS1'!G880</f>
        <v>139.71025453282968</v>
      </c>
      <c r="E5" s="1">
        <f>'SPS1'!H880</f>
        <v>132.931026279105</v>
      </c>
      <c r="F5" s="1">
        <f>'SPS1'!I880</f>
        <v>121.43464537582081</v>
      </c>
      <c r="G5" s="1">
        <f>'SPS1'!J880</f>
        <v>108.81324988857804</v>
      </c>
      <c r="H5" s="1">
        <f>'SPS1'!K880</f>
        <v>97.068138767122008</v>
      </c>
    </row>
    <row r="6" spans="2:8" x14ac:dyDescent="0.35">
      <c r="B6" s="25" t="s">
        <v>1730</v>
      </c>
      <c r="C6" s="1">
        <f>'SPS1'!F970</f>
        <v>219.90806424818021</v>
      </c>
      <c r="D6" s="1">
        <f>'SPS1'!G970</f>
        <v>217.39761753447416</v>
      </c>
      <c r="E6" s="1">
        <f>'SPS1'!H970</f>
        <v>219.99217418040612</v>
      </c>
      <c r="F6" s="1">
        <f>'SPS1'!I970</f>
        <v>200.59312164798149</v>
      </c>
      <c r="G6" s="1">
        <f>'SPS1'!J970</f>
        <v>182.26297878617163</v>
      </c>
      <c r="H6" s="1">
        <f>'SPS1'!K970</f>
        <v>165.75317237741803</v>
      </c>
    </row>
    <row r="7" spans="2:8" x14ac:dyDescent="0.35">
      <c r="B7" s="25" t="s">
        <v>1731</v>
      </c>
      <c r="C7" s="1">
        <f>'SPS1'!F1134+'SPS1'!F1313+'SPS1'!F1397+'SPS1'!F1481+'SPS1'!F1488+'SPS1'!F1495+'SPS1'!F1544+'SPS1'!F1591+'SPS1'!F1638</f>
        <v>213.95826976280202</v>
      </c>
      <c r="D7" s="1">
        <f>'SPS1'!G1134+'SPS1'!G1313+'SPS1'!G1397+'SPS1'!G1481+'SPS1'!G1488+'SPS1'!G1495+'SPS1'!G1544+'SPS1'!G1591+'SPS1'!G1638</f>
        <v>205.52357138693108</v>
      </c>
      <c r="E7" s="1">
        <f>'SPS1'!H1134+'SPS1'!H1313+'SPS1'!H1397+'SPS1'!H1481+'SPS1'!H1488+'SPS1'!H1495+'SPS1'!H1544+'SPS1'!H1591+'SPS1'!H1638</f>
        <v>190.41585588038376</v>
      </c>
      <c r="F7" s="1">
        <f>'SPS1'!I1134+'SPS1'!I1313+'SPS1'!I1397+'SPS1'!I1481+'SPS1'!I1488+'SPS1'!I1495+'SPS1'!I1544+'SPS1'!I1591+'SPS1'!I1638</f>
        <v>147.36596393233316</v>
      </c>
      <c r="G7" s="1">
        <f>'SPS1'!J1134+'SPS1'!J1313+'SPS1'!J1397+'SPS1'!J1481+'SPS1'!J1488+'SPS1'!J1495+'SPS1'!J1544+'SPS1'!J1591+'SPS1'!J1638</f>
        <v>103.13314399577149</v>
      </c>
      <c r="H7" s="1">
        <f>'SPS1'!K1134+'SPS1'!K1313+'SPS1'!K1397+'SPS1'!K1481+'SPS1'!K1488+'SPS1'!K1495+'SPS1'!K1544+'SPS1'!K1591+'SPS1'!K1638</f>
        <v>88.838553271644543</v>
      </c>
    </row>
    <row r="8" spans="2:8" x14ac:dyDescent="0.35">
      <c r="B8" s="2" t="s">
        <v>1736</v>
      </c>
      <c r="C8" s="3">
        <f>SUM(C9:C12)</f>
        <v>509.58340012170572</v>
      </c>
      <c r="D8" s="3">
        <f t="shared" ref="D8:H8" si="1">SUM(D9:D12)</f>
        <v>498.14059586329483</v>
      </c>
      <c r="E8" s="3">
        <f t="shared" si="1"/>
        <v>522.21611223577338</v>
      </c>
      <c r="F8" s="3">
        <f t="shared" si="1"/>
        <v>512.68683257838711</v>
      </c>
      <c r="G8" s="3">
        <f t="shared" si="1"/>
        <v>457.72934295517047</v>
      </c>
      <c r="H8" s="3">
        <f t="shared" si="1"/>
        <v>450.89027051827901</v>
      </c>
    </row>
    <row r="9" spans="2:8" x14ac:dyDescent="0.35">
      <c r="B9" s="25" t="s">
        <v>1733</v>
      </c>
      <c r="C9" s="1">
        <f>'SPS1'!F289+'SPS1'!F407</f>
        <v>493.39861771242334</v>
      </c>
      <c r="D9" s="1">
        <f>'SPS1'!G289+'SPS1'!G407</f>
        <v>475.37484049698321</v>
      </c>
      <c r="E9" s="1">
        <f>'SPS1'!H289+'SPS1'!H407</f>
        <v>496.00601505287966</v>
      </c>
      <c r="F9" s="1">
        <f>'SPS1'!I289+'SPS1'!I407</f>
        <v>488.20245206367673</v>
      </c>
      <c r="G9" s="1">
        <f>'SPS1'!J289+'SPS1'!J407</f>
        <v>425.23953462448497</v>
      </c>
      <c r="H9" s="1">
        <f>'SPS1'!K289+'SPS1'!K407</f>
        <v>381.45590289804414</v>
      </c>
    </row>
    <row r="10" spans="2:8" x14ac:dyDescent="0.35">
      <c r="B10" s="25" t="s">
        <v>1734</v>
      </c>
      <c r="C10" s="1">
        <f>'SPS1'!F588+'SPS1'!F602+'SPS1'!F642</f>
        <v>16.179886709701666</v>
      </c>
      <c r="D10" s="1">
        <f>'SPS1'!G588+'SPS1'!G602+'SPS1'!G642</f>
        <v>22.758458570048958</v>
      </c>
      <c r="E10" s="1">
        <f>'SPS1'!H588+'SPS1'!H602+'SPS1'!H642</f>
        <v>26.199359919710925</v>
      </c>
      <c r="F10" s="1">
        <f>'SPS1'!I588+'SPS1'!I602+'SPS1'!I642</f>
        <v>24.441357595021159</v>
      </c>
      <c r="G10" s="1">
        <f>'SPS1'!J588+'SPS1'!J602+'SPS1'!J642</f>
        <v>26.235697462151137</v>
      </c>
      <c r="H10" s="1">
        <f>'SPS1'!K588+'SPS1'!K602+'SPS1'!K642</f>
        <v>45.033404835281722</v>
      </c>
    </row>
    <row r="11" spans="2:8" x14ac:dyDescent="0.35">
      <c r="B11" s="25" t="s">
        <v>1732</v>
      </c>
      <c r="C11" s="1">
        <f>'SPS1'!F677</f>
        <v>4.8956995806995404E-3</v>
      </c>
      <c r="D11" s="1">
        <f>'SPS1'!G677</f>
        <v>7.2967962626576928E-3</v>
      </c>
      <c r="E11" s="1">
        <f>'SPS1'!H677</f>
        <v>1.0737263182852263E-2</v>
      </c>
      <c r="F11" s="1">
        <f>'SPS1'!I677</f>
        <v>4.3022919689209592E-2</v>
      </c>
      <c r="G11" s="1">
        <f>'SPS1'!J677</f>
        <v>6.2540882824314963</v>
      </c>
      <c r="H11" s="1">
        <f>'SPS1'!K677</f>
        <v>24.400890280605694</v>
      </c>
    </row>
    <row r="12" spans="2:8" x14ac:dyDescent="0.35">
      <c r="B12" s="25" t="s">
        <v>1735</v>
      </c>
      <c r="C12" s="1">
        <f>'SPS1'!F1702</f>
        <v>0</v>
      </c>
      <c r="D12" s="1">
        <f>'SPS1'!G1702</f>
        <v>0</v>
      </c>
      <c r="E12" s="1">
        <f>'SPS1'!H1702</f>
        <v>0</v>
      </c>
      <c r="F12" s="1">
        <f>'SPS1'!I1702</f>
        <v>0</v>
      </c>
      <c r="G12" s="1">
        <f>'SPS1'!J1702</f>
        <v>2.2586102865013887E-5</v>
      </c>
      <c r="H12" s="1">
        <f>'SPS1'!K1702</f>
        <v>7.250434740061428E-5</v>
      </c>
    </row>
    <row r="13" spans="2:8" x14ac:dyDescent="0.35">
      <c r="B13" s="2" t="s">
        <v>1737</v>
      </c>
      <c r="C13" s="3">
        <f>'SPS1'!F2+'SPS1'!F20-'SPS1'!F55</f>
        <v>962.45199921580627</v>
      </c>
      <c r="D13" s="3">
        <f>'SPS1'!G2+'SPS1'!G20-'SPS1'!G55</f>
        <v>960.18683043531246</v>
      </c>
      <c r="E13" s="3">
        <f>'SPS1'!H2+'SPS1'!H20-'SPS1'!H55</f>
        <v>943.3736734017175</v>
      </c>
      <c r="F13" s="3">
        <f>'SPS1'!I2+'SPS1'!I20-'SPS1'!I55</f>
        <v>837.6466060585052</v>
      </c>
      <c r="G13" s="3">
        <f>'SPS1'!J2+'SPS1'!J20-'SPS1'!J55</f>
        <v>703.66794529882827</v>
      </c>
      <c r="H13" s="3">
        <f>'SPS1'!K2+'SPS1'!K20-'SPS1'!K55</f>
        <v>681.1194543162801</v>
      </c>
    </row>
    <row r="14" spans="2:8" x14ac:dyDescent="0.35">
      <c r="B14" s="25" t="s">
        <v>1738</v>
      </c>
      <c r="C14" s="1">
        <f>'SPS1'!F2</f>
        <v>300.18625586742178</v>
      </c>
      <c r="D14" s="1">
        <f>'SPS1'!G2</f>
        <v>293.51112104414585</v>
      </c>
      <c r="E14" s="1">
        <f>'SPS1'!H2</f>
        <v>375.26922128648943</v>
      </c>
      <c r="F14" s="1">
        <f>'SPS1'!I2</f>
        <v>385.90123940941959</v>
      </c>
      <c r="G14" s="1">
        <f>'SPS1'!J2</f>
        <v>461.84609282585291</v>
      </c>
      <c r="H14" s="1">
        <f>'SPS1'!K2</f>
        <v>552.13310433699451</v>
      </c>
    </row>
    <row r="15" spans="2:8" x14ac:dyDescent="0.35">
      <c r="B15" s="25" t="s">
        <v>19</v>
      </c>
      <c r="C15" s="1">
        <f>'SPS1'!F20</f>
        <v>779.43576807727436</v>
      </c>
      <c r="D15" s="1">
        <f>'SPS1'!G20</f>
        <v>702.06638458220425</v>
      </c>
      <c r="E15" s="1">
        <f>'SPS1'!H20</f>
        <v>622.88462223917713</v>
      </c>
      <c r="F15" s="1">
        <f>'SPS1'!I20</f>
        <v>507.45489738277979</v>
      </c>
      <c r="G15" s="1">
        <f>'SPS1'!J20</f>
        <v>258.92496749751615</v>
      </c>
      <c r="H15" s="1">
        <f>'SPS1'!K20</f>
        <v>144.76022787816302</v>
      </c>
    </row>
    <row r="16" spans="2:8" x14ac:dyDescent="0.35">
      <c r="B16" s="25" t="s">
        <v>24</v>
      </c>
      <c r="C16" s="1">
        <f>'SPS1'!F55</f>
        <v>117.17002472888984</v>
      </c>
      <c r="D16" s="1">
        <f>'SPS1'!G55</f>
        <v>35.390675191037616</v>
      </c>
      <c r="E16" s="1">
        <f>'SPS1'!H55</f>
        <v>54.780170123949119</v>
      </c>
      <c r="F16" s="1">
        <f>'SPS1'!I55</f>
        <v>55.709530733694159</v>
      </c>
      <c r="G16" s="1">
        <f>'SPS1'!J55</f>
        <v>17.103115024540731</v>
      </c>
      <c r="H16" s="1">
        <f>'SPS1'!K55</f>
        <v>15.773877898877473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C8C03ABD37349B85E16C79D0BC86D" ma:contentTypeVersion="15" ma:contentTypeDescription="Create a new document." ma:contentTypeScope="" ma:versionID="e0c4c809cdd1f4d681ffe254c15b0eea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474854dce0ec48aabc248446e7a68ac4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4A10C997-3B44-4C5D-832C-8AF8B3C43B3B}"/>
</file>

<file path=customXml/itemProps2.xml><?xml version="1.0" encoding="utf-8"?>
<ds:datastoreItem xmlns:ds="http://schemas.openxmlformats.org/officeDocument/2006/customXml" ds:itemID="{F14B74B9-A5DE-417D-A0DB-F8E4D0D545CB}"/>
</file>

<file path=customXml/itemProps3.xml><?xml version="1.0" encoding="utf-8"?>
<ds:datastoreItem xmlns:ds="http://schemas.openxmlformats.org/officeDocument/2006/customXml" ds:itemID="{B5A8F3A2-BF42-4B24-A6E3-F97DD6A950C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2025-09-28T17:43:24Z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